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TMTSF9QWgaowsa7BwxkT1aJ90gzdVwaJ7ErVQEHLPlOYlanHUNBoRNto4kWMHpX+aB+q+GJXrVo/GZbH91gaA==" workbookSaltValue="u9or7B0uhQbCRAj2BfhL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AY20" i="8"/>
  <c r="BF16" i="8"/>
  <c r="BG16" i="8"/>
  <c r="K16" i="7" s="1"/>
  <c r="BD9" i="8"/>
  <c r="BE9" i="8"/>
  <c r="E14" i="17"/>
  <c r="AH14" i="16"/>
  <c r="T14" i="20"/>
  <c r="T20" i="17"/>
  <c r="BF16" i="13"/>
  <c r="BG16" i="13"/>
  <c r="BB20" i="13"/>
  <c r="BE17" i="13"/>
  <c r="BE16" i="13"/>
  <c r="BF17" i="13"/>
  <c r="K22" i="20"/>
  <c r="Y22" i="20"/>
  <c r="AC22" i="20"/>
  <c r="U12" i="11"/>
  <c r="U17" i="11"/>
  <c r="AQ22" i="20"/>
  <c r="W22" i="20"/>
  <c r="U10" i="11"/>
  <c r="W22" i="21"/>
  <c r="AF22" i="20"/>
  <c r="U18" i="11"/>
  <c r="AL22" i="20"/>
  <c r="AE22" i="20"/>
  <c r="AG22" i="20"/>
  <c r="L22" i="20"/>
  <c r="M22" i="20"/>
  <c r="N22" i="20"/>
  <c r="AA22" i="20"/>
  <c r="AQ22" i="21"/>
  <c r="G14" i="14"/>
  <c r="AW20" i="21" l="1"/>
  <c r="AE21" i="8"/>
  <c r="R21" i="8"/>
  <c r="BG10" i="8"/>
  <c r="K10" i="7" s="1"/>
  <c r="AY14" i="8"/>
  <c r="F13" i="2"/>
  <c r="H12" i="2"/>
  <c r="B19" i="6"/>
  <c r="AL16" i="11"/>
  <c r="M20" i="2"/>
  <c r="N20" i="2"/>
  <c r="R13" i="17"/>
  <c r="S13" i="17" s="1"/>
  <c r="I13" i="14"/>
  <c r="S12" i="14"/>
  <c r="V12" i="14" s="1"/>
  <c r="S17" i="14"/>
  <c r="V17" i="14" s="1"/>
  <c r="R18" i="14"/>
  <c r="T12" i="11"/>
  <c r="T11" i="11"/>
  <c r="R8" i="9"/>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K9" i="12"/>
  <c r="AP17" i="20"/>
  <c r="BK13" i="11"/>
  <c r="BK14" i="11" s="1"/>
  <c r="BM17" i="11"/>
  <c r="BH19" i="11"/>
  <c r="AZ19" i="11"/>
  <c r="V12" i="21"/>
  <c r="V18" i="16"/>
  <c r="BK16" i="11"/>
  <c r="V13" i="11"/>
  <c r="BM13" i="11"/>
  <c r="BL11" i="11"/>
  <c r="BM16" i="11"/>
  <c r="BV19" i="16"/>
  <c r="BV17" i="16"/>
  <c r="BW11" i="20"/>
  <c r="V12" i="16"/>
  <c r="T17" i="11"/>
  <c r="BH10" i="11"/>
  <c r="AQ10" i="21"/>
  <c r="BH10" i="16"/>
  <c r="BM18" i="11"/>
  <c r="P18" i="11" s="1"/>
  <c r="BH17" i="11"/>
  <c r="BJ17" i="11"/>
  <c r="BJ20" i="11" s="1"/>
  <c r="S17" i="17"/>
  <c r="L13" i="2"/>
  <c r="X16" i="16"/>
  <c r="X20" i="16" s="1"/>
  <c r="BL19" i="11"/>
  <c r="BG10" i="11"/>
  <c r="V11" i="16"/>
  <c r="BF10" i="11"/>
  <c r="AP10" i="21"/>
  <c r="AP16" i="20"/>
  <c r="T16" i="16"/>
  <c r="BV16" i="16"/>
  <c r="BV10" i="16"/>
  <c r="BV14" i="16" s="1"/>
  <c r="BV9" i="16"/>
  <c r="AA16" i="16"/>
  <c r="BI9" i="11"/>
  <c r="S10" i="17"/>
  <c r="Q16" i="17"/>
  <c r="AQ12" i="21"/>
  <c r="L17" i="2"/>
  <c r="X10" i="21"/>
  <c r="X21" i="21" s="1"/>
  <c r="V10" i="16"/>
  <c r="X13" i="16"/>
  <c r="BI16" i="11"/>
  <c r="BL13" i="11"/>
  <c r="Q13" i="11" s="1"/>
  <c r="BV13" i="16"/>
  <c r="Q18" i="17"/>
  <c r="BF16" i="11"/>
  <c r="BL17" i="11"/>
  <c r="T19" i="11"/>
  <c r="AO17" i="17"/>
  <c r="R11" i="14"/>
  <c r="S19" i="14"/>
  <c r="V19" i="14" s="1"/>
  <c r="V20" i="14" s="1"/>
  <c r="S20" i="16"/>
  <c r="I12" i="7"/>
  <c r="C14" i="6"/>
  <c r="AB21" i="21"/>
  <c r="H21" i="21"/>
  <c r="K19" i="12"/>
  <c r="I11" i="12"/>
  <c r="AV14" i="16"/>
  <c r="BG14" i="13"/>
  <c r="AK21" i="13"/>
  <c r="BC21" i="13"/>
  <c r="BD14" i="13"/>
  <c r="BM21" i="13"/>
  <c r="AD21" i="13"/>
  <c r="AI21" i="13"/>
  <c r="L21" i="13"/>
  <c r="N21" i="13"/>
  <c r="BD10" i="13"/>
  <c r="K16" i="12"/>
  <c r="K10" i="12"/>
  <c r="I9" i="12"/>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I20" i="16"/>
  <c r="D21" i="12"/>
  <c r="I18" i="12"/>
  <c r="BW23" i="20"/>
  <c r="P9" i="11"/>
  <c r="Q10" i="11"/>
  <c r="AQ21" i="20"/>
  <c r="D11" i="6"/>
  <c r="J11" i="12" s="1"/>
  <c r="E11" i="3"/>
  <c r="Q12" i="11"/>
  <c r="R16" i="14"/>
  <c r="BH17" i="16"/>
  <c r="AM18" i="11"/>
  <c r="BI17" i="11"/>
  <c r="BI20" i="11" s="1"/>
  <c r="BI13" i="11"/>
  <c r="BG18" i="11"/>
  <c r="BI11" i="11"/>
  <c r="P21" i="8"/>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AI23" i="11" l="1"/>
  <c r="D21" i="14"/>
  <c r="Q20" i="17"/>
  <c r="Q21" i="17"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<sst xmlns="http://schemas.openxmlformats.org/spreadsheetml/2006/main" count="2229" uniqueCount="979">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</sst>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QdsWVVHswOGzepZ2Sn4wzD2UHikd0HerZRCjhx9pOJUS/zE1sOpqysqFXhYJDXlRRtsB4dbZ3r5AR5vXiVgJg==" saltValue="Orl2EK3lQ8a55c5d0nFT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1</v>
      </c>
      <c r="F10" s="231">
        <f>IF(ISNUMBER(Datos!K10),Datos!K10," - ")</f>
        <v>0</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0.1111111111111111</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17.326896551724136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716</v>
      </c>
      <c r="D17" s="230">
        <f>IF(ISNUMBER(IF(D_I="SI",Datos!I17,Datos!I17+Datos!AC17)),IF(D_I="SI",Datos!I17,Datos!I17+Datos!AC17)," - ")</f>
        <v>716</v>
      </c>
      <c r="E17" s="231">
        <f>IF(ISNUMBER(IF(D_I="SI",Datos!J17,Datos!J17+Datos!AD17)),IF(D_I="SI",Datos!J17,Datos!J17+Datos!AD17)," - ")</f>
        <v>1092</v>
      </c>
      <c r="F17" s="231">
        <f>IF(ISNUMBER(IF(D_I="SI",Datos!K17,Datos!K17+Datos!AE17)),IF(D_I="SI",Datos!K17,Datos!K17+Datos!AE17)," - ")</f>
        <v>1226</v>
      </c>
      <c r="G17" s="1193" t="str">
        <f>IF(Datos!E17&lt;&gt;"",Datos!E17,Datos!D17)</f>
        <v>04</v>
      </c>
      <c r="H17" s="232">
        <f>IF(ISNUMBER(IF(D_I="SI",Datos!L17,Datos!L17+Datos!AF17)),IF(D_I="SI",Datos!L17,Datos!L17+Datos!AF17)," - ")</f>
        <v>582</v>
      </c>
      <c r="I17" s="1203" t="str">
        <f>IF(ISNUMBER(Datos!AS17/Datos!BM17),Datos!AS17/Datos!BM17," - ")</f>
        <v xml:space="preserve"> - </v>
      </c>
      <c r="J17" s="1204">
        <f>IF(ISNUMBER(Datos!BY17/Datos!CN17),Datos!BY17/Datos!CN17," - ")</f>
        <v>0</v>
      </c>
      <c r="K17" s="235">
        <f t="shared" si="3"/>
        <v>-0.18715083798882681</v>
      </c>
      <c r="L17" s="1205">
        <f>IF(ISNUMBER(NºAsuntos!I17/NºAsuntos!G17),(NºAsuntos!I17/NºAsuntos!G17)*11," - ")</f>
        <v>5.221859706362153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44</v>
      </c>
      <c r="D18" s="230">
        <f>IF(ISNUMBER(IF(D_I="SI",Datos!I18,Datos!I18+Datos!AC18)),IF(D_I="SI",Datos!I18,Datos!I18+Datos!AC18)," - ")</f>
        <v>44</v>
      </c>
      <c r="E18" s="231">
        <f>IF(ISNUMBER(IF(D_I="SI",Datos!J18,Datos!J18+Datos!AD18)),IF(D_I="SI",Datos!J18,Datos!J18+Datos!AD18)," - ")</f>
        <v>57</v>
      </c>
      <c r="F18" s="231">
        <f>IF(ISNUMBER(IF(D_I="SI",Datos!K18,Datos!K18+Datos!AE18)),IF(D_I="SI",Datos!K18,Datos!K18+Datos!AE18)," - ")</f>
        <v>62</v>
      </c>
      <c r="G18" s="1193" t="str">
        <f>IF(Datos!E18&lt;&gt;"",Datos!E18,Datos!D18)</f>
        <v>37</v>
      </c>
      <c r="H18" s="232">
        <f>IF(ISNUMBER(IF(D_I="SI",Datos!L18,Datos!L18+Datos!AF18)),IF(D_I="SI",Datos!L18,Datos!L18+Datos!AF18)," - ")</f>
        <v>39</v>
      </c>
      <c r="I18" s="1203" t="str">
        <f>IF(ISNUMBER(Datos!AS18/Datos!BM18),Datos!AS18/Datos!BM18," - ")</f>
        <v xml:space="preserve"> - </v>
      </c>
      <c r="J18" s="1204" t="str">
        <f>IF(ISNUMBER((Datos!BY18+Datos!BZ18)/Datos!CN18),(Datos!BY18+Datos!BZ18)/Datos!CN18," - ")</f>
        <v xml:space="preserve"> - </v>
      </c>
      <c r="K18" s="235">
        <f t="shared" si="3"/>
        <v>-0.11363636363636363</v>
      </c>
      <c r="L18" s="1205">
        <f>IF(ISNUMBER(NºAsuntos!I18/NºAsuntos!G18),(NºAsuntos!I18/NºAsuntos!G18)*11," - ")</f>
        <v>6.919354838709677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760</v>
      </c>
      <c r="D20" s="1210">
        <f>SUBTOTAL(9,D16:D19)</f>
        <v>760</v>
      </c>
      <c r="E20" s="1211">
        <f>SUBTOTAL(9,E16:E19)</f>
        <v>1149</v>
      </c>
      <c r="F20" s="1211">
        <f>SUBTOTAL(9,F16:F19)</f>
        <v>1288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769</v>
      </c>
      <c r="D21" s="1232">
        <f>SUBTOTAL(9,D9:D20)</f>
        <v>769</v>
      </c>
      <c r="E21" s="1233">
        <f>SUBTOTAL(9,E9:E20)</f>
        <v>1150</v>
      </c>
      <c r="F21" s="1233">
        <f>SUBTOTAL(9,F9:F20)</f>
        <v>1288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Qks3qHZg6GFr8BxdxWQvOKofmeK64c5ss4Jn9JtfsfxcQfIKFKsxCgR4J9Y1kNuso+GPN2TP1Jp8PMOTiLLl5w==" saltValue="25JyKdunEY+AdYGR5mIYo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1JNUpa337FdE0fJE85nZQNfY9vGVcsGmw+j1yziYuHHiIgobXhXp6fKRAABh/bq47J3mtGWBbcNS1p69wyz5GQ==" saltValue="WLOj1AhOVl6W/bw/gWaz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1</v>
      </c>
      <c r="K10" s="186">
        <v>0</v>
      </c>
      <c r="L10" s="186">
        <v>10</v>
      </c>
      <c r="M10" s="186">
        <v>0</v>
      </c>
      <c r="N10" s="186">
        <v>0</v>
      </c>
      <c r="O10" s="186">
        <v>0</v>
      </c>
      <c r="P10" s="186">
        <v>0</v>
      </c>
      <c r="Q10" s="186">
        <v>0</v>
      </c>
      <c r="R10" s="186">
        <v>0</v>
      </c>
      <c r="S10" s="186">
        <v>14</v>
      </c>
      <c r="T10" s="186">
        <v>3</v>
      </c>
      <c r="U10" s="186">
        <v>8</v>
      </c>
      <c r="V10" s="186">
        <v>9</v>
      </c>
      <c r="W10" s="186">
        <v>6</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v>
      </c>
      <c r="AZ10" s="131">
        <f t="shared" si="0"/>
        <v>3</v>
      </c>
      <c r="BA10" s="131">
        <f t="shared" si="0"/>
        <v>8</v>
      </c>
      <c r="BB10" s="131">
        <f t="shared" si="0"/>
        <v>9</v>
      </c>
      <c r="BC10" s="127">
        <f t="shared" si="0"/>
        <v>6</v>
      </c>
      <c r="BD10" s="128">
        <f>IF(ISNUMBER(BA10/AZ10),BA10/AZ10," - ")</f>
        <v>2.6666666666666665</v>
      </c>
      <c r="BE10" s="129">
        <f>IF(ISNUMBER(BB10/BA10),BB10/BA10, " - ")</f>
        <v>1.125</v>
      </c>
      <c r="BF10" s="129">
        <f>IF(ISNUMBER(BC10/BA10),BC10/BA10, " - ")</f>
        <v>0.75</v>
      </c>
      <c r="BG10" s="201">
        <f>IF(ISNUMBER((AY10+AZ10)/BA10),(AY10+AZ10)/BA10," - ")</f>
        <v>2.125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1207</v>
      </c>
      <c r="J12" s="188">
        <v>602</v>
      </c>
      <c r="K12" s="188">
        <v>686</v>
      </c>
      <c r="L12" s="188">
        <v>1123</v>
      </c>
      <c r="M12" s="188">
        <v>91</v>
      </c>
      <c r="N12" s="188">
        <v>263</v>
      </c>
      <c r="O12" s="186">
        <v>201</v>
      </c>
      <c r="P12" s="188">
        <v>103</v>
      </c>
      <c r="Q12" s="188">
        <v>73</v>
      </c>
      <c r="R12" s="188">
        <v>1621</v>
      </c>
      <c r="S12" s="188">
        <v>996</v>
      </c>
      <c r="T12" s="188">
        <v>431</v>
      </c>
      <c r="U12" s="188">
        <v>411</v>
      </c>
      <c r="V12" s="188">
        <v>1007</v>
      </c>
      <c r="W12" s="188">
        <v>91</v>
      </c>
      <c r="X12" s="194">
        <v>162</v>
      </c>
      <c r="Y12" s="196">
        <v>23</v>
      </c>
      <c r="Z12" s="186">
        <v>35</v>
      </c>
      <c r="AA12" s="186">
        <v>39</v>
      </c>
      <c r="AB12" s="186">
        <v>19</v>
      </c>
      <c r="AC12" s="188">
        <v>0</v>
      </c>
      <c r="AD12" s="188">
        <v>0</v>
      </c>
      <c r="AE12" s="188">
        <v>0</v>
      </c>
      <c r="AF12" s="194">
        <v>0</v>
      </c>
      <c r="AG12" s="207">
        <v>35</v>
      </c>
      <c r="AH12" s="188">
        <v>40</v>
      </c>
      <c r="AI12" s="188">
        <v>46</v>
      </c>
      <c r="AJ12" s="208">
        <v>15</v>
      </c>
      <c r="AK12" s="187">
        <v>0</v>
      </c>
      <c r="AL12" s="188">
        <v>0</v>
      </c>
      <c r="AM12" s="188">
        <v>0</v>
      </c>
      <c r="AN12" s="194">
        <v>0</v>
      </c>
      <c r="AO12" s="264">
        <v>3</v>
      </c>
      <c r="AP12" s="160">
        <v>3</v>
      </c>
      <c r="AQ12" s="160">
        <v>3</v>
      </c>
      <c r="AR12" s="159">
        <v>3</v>
      </c>
      <c r="AS12" s="350" t="s">
        <v>874</v>
      </c>
      <c r="AT12" s="208"/>
      <c r="AU12" s="207"/>
      <c r="AV12" s="208"/>
      <c r="AW12" s="207"/>
      <c r="AX12" s="208"/>
      <c r="AY12" s="128">
        <f t="shared" si="1"/>
        <v>1031</v>
      </c>
      <c r="AZ12" s="129">
        <f t="shared" si="1"/>
        <v>471</v>
      </c>
      <c r="BA12" s="129">
        <f t="shared" si="1"/>
        <v>457</v>
      </c>
      <c r="BB12" s="129">
        <f t="shared" si="1"/>
        <v>1022</v>
      </c>
      <c r="BC12" s="127">
        <f>IF(ISNUMBER(X12),X12," - ")</f>
        <v>162</v>
      </c>
      <c r="BD12" s="128">
        <f t="shared" si="2"/>
        <v>0.97027600849256901</v>
      </c>
      <c r="BE12" s="129">
        <f t="shared" si="3"/>
        <v>2.2363238512035011</v>
      </c>
      <c r="BF12" s="129">
        <f t="shared" si="4"/>
        <v>0.35448577680525162</v>
      </c>
      <c r="BG12" s="201">
        <f t="shared" si="5"/>
        <v>3.2866520787746172</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1216</v>
      </c>
      <c r="J14" s="189">
        <f t="shared" si="7"/>
        <v>603</v>
      </c>
      <c r="K14" s="189">
        <f t="shared" si="7"/>
        <v>686</v>
      </c>
      <c r="L14" s="189">
        <f t="shared" si="7"/>
        <v>1133</v>
      </c>
      <c r="M14" s="189">
        <f t="shared" si="7"/>
        <v>91</v>
      </c>
      <c r="N14" s="189">
        <f t="shared" si="7"/>
        <v>263</v>
      </c>
      <c r="O14" s="189">
        <f t="shared" si="7"/>
        <v>201</v>
      </c>
      <c r="P14" s="189">
        <f t="shared" si="7"/>
        <v>103</v>
      </c>
      <c r="Q14" s="189">
        <f t="shared" si="7"/>
        <v>73</v>
      </c>
      <c r="R14" s="189">
        <f t="shared" si="7"/>
        <v>1621</v>
      </c>
      <c r="S14" s="189">
        <f t="shared" si="7"/>
        <v>1010</v>
      </c>
      <c r="T14" s="189">
        <f t="shared" si="7"/>
        <v>434</v>
      </c>
      <c r="U14" s="189">
        <f t="shared" si="7"/>
        <v>419</v>
      </c>
      <c r="V14" s="189">
        <f t="shared" si="7"/>
        <v>1016</v>
      </c>
      <c r="W14" s="189">
        <f t="shared" si="7"/>
        <v>97</v>
      </c>
      <c r="X14" s="189">
        <f t="shared" si="7"/>
        <v>164</v>
      </c>
      <c r="Y14" s="189">
        <f t="shared" si="7"/>
        <v>23</v>
      </c>
      <c r="Z14" s="189">
        <f t="shared" si="7"/>
        <v>35</v>
      </c>
      <c r="AA14" s="189">
        <f t="shared" si="7"/>
        <v>39</v>
      </c>
      <c r="AB14" s="189">
        <f t="shared" si="7"/>
        <v>19</v>
      </c>
      <c r="AC14" s="189">
        <f t="shared" si="7"/>
        <v>0</v>
      </c>
      <c r="AD14" s="189">
        <f t="shared" si="7"/>
        <v>0</v>
      </c>
      <c r="AE14" s="189">
        <f t="shared" si="7"/>
        <v>0</v>
      </c>
      <c r="AF14" s="189">
        <f>SUBTOTAL(9,AF9:AF13)</f>
        <v>0</v>
      </c>
      <c r="AG14" s="189">
        <f t="shared" ref="AG14:AT14" si="8">SUBTOTAL(9,AG8:AG13)</f>
        <v>35</v>
      </c>
      <c r="AH14" s="189">
        <f t="shared" si="8"/>
        <v>40</v>
      </c>
      <c r="AI14" s="189">
        <f t="shared" si="8"/>
        <v>46</v>
      </c>
      <c r="AJ14" s="189">
        <f t="shared" si="8"/>
        <v>15</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1045</v>
      </c>
      <c r="AZ14" s="189">
        <f>SUBTOTAL(9,AZ8:AZ13)</f>
        <v>474</v>
      </c>
      <c r="BA14" s="189">
        <f>SUBTOTAL(9,BA8:BA13)</f>
        <v>465</v>
      </c>
      <c r="BB14" s="189">
        <f>SUBTOTAL(9,BB8:BB13)</f>
        <v>1031</v>
      </c>
      <c r="BC14" s="189">
        <f>SUBTOTAL(9,BC8:BC13)</f>
        <v>168</v>
      </c>
      <c r="BD14" s="210">
        <f>IF(ISNUMBER(BA14/AZ14),BA14/AZ14," - ")</f>
        <v>0.98101265822784811</v>
      </c>
      <c r="BE14" s="211">
        <f>IF(ISNUMBER(BB14/BA14),BB14/BA14, " - ")</f>
        <v>2.2172043010752689</v>
      </c>
      <c r="BF14" s="211">
        <f>IF(ISNUMBER(BC14/BA14),BC14/BA14, " - ")</f>
        <v>0.36129032258064514</v>
      </c>
      <c r="BG14" s="212">
        <f>IF(ISNUMBER((AY14+AZ14)/BA14),(AY14+AZ14)/BA14," - ")</f>
        <v>3.2666666666666666</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716</v>
      </c>
      <c r="J17" s="188">
        <v>1092</v>
      </c>
      <c r="K17" s="188">
        <v>1226</v>
      </c>
      <c r="L17" s="188">
        <v>582</v>
      </c>
      <c r="M17" s="188">
        <v>76</v>
      </c>
      <c r="N17" s="188">
        <v>1069</v>
      </c>
      <c r="O17" s="186">
        <v>19</v>
      </c>
      <c r="P17" s="188">
        <v>16</v>
      </c>
      <c r="Q17" s="188">
        <v>21</v>
      </c>
      <c r="R17" s="188">
        <v>47</v>
      </c>
      <c r="S17" s="188">
        <v>664</v>
      </c>
      <c r="T17" s="188">
        <v>1017</v>
      </c>
      <c r="U17" s="188">
        <v>1015</v>
      </c>
      <c r="V17" s="188">
        <v>666</v>
      </c>
      <c r="W17" s="188">
        <v>66</v>
      </c>
      <c r="X17" s="194">
        <v>807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664</v>
      </c>
      <c r="AZ17" s="129">
        <f t="shared" si="10"/>
        <v>1017</v>
      </c>
      <c r="BA17" s="129">
        <f t="shared" si="10"/>
        <v>1015</v>
      </c>
      <c r="BB17" s="129">
        <f t="shared" si="10"/>
        <v>666</v>
      </c>
      <c r="BC17" s="127">
        <f>IF(ISNUMBER(W17),W17," - ")</f>
        <v>66</v>
      </c>
      <c r="BD17" s="128">
        <f t="shared" ref="BD17:BD19" si="12">IF(ISNUMBER(BA17/AZ17),BA17/AZ17," - ")</f>
        <v>0.99803343166175029</v>
      </c>
      <c r="BE17" s="129">
        <f t="shared" ref="BE17:BE19" si="13">IF(ISNUMBER(BB17/BA17),BB17/BA17, " - ")</f>
        <v>0.65615763546798034</v>
      </c>
      <c r="BF17" s="129">
        <f t="shared" ref="BF17:BF19" si="14">IF(ISNUMBER(BC17/BA17),BC17/BA17, " - ")</f>
        <v>6.5024630541871922E-2</v>
      </c>
      <c r="BG17" s="201">
        <f t="shared" si="11"/>
        <v>1.6561576354679803</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44</v>
      </c>
      <c r="J18" s="188">
        <v>57</v>
      </c>
      <c r="K18" s="188">
        <v>62</v>
      </c>
      <c r="L18" s="188">
        <v>39</v>
      </c>
      <c r="M18" s="188">
        <v>2</v>
      </c>
      <c r="N18" s="188">
        <v>30</v>
      </c>
      <c r="O18" s="188">
        <v>0</v>
      </c>
      <c r="P18" s="188">
        <v>0</v>
      </c>
      <c r="Q18" s="188">
        <v>0</v>
      </c>
      <c r="R18" s="188">
        <v>0</v>
      </c>
      <c r="S18" s="188">
        <v>46</v>
      </c>
      <c r="T18" s="188">
        <v>43</v>
      </c>
      <c r="U18" s="188">
        <v>54</v>
      </c>
      <c r="V18" s="188">
        <v>35</v>
      </c>
      <c r="W18" s="188">
        <v>9</v>
      </c>
      <c r="X18" s="194">
        <v>34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46</v>
      </c>
      <c r="AZ18" s="131">
        <f t="shared" si="15"/>
        <v>43</v>
      </c>
      <c r="BA18" s="131">
        <f t="shared" si="15"/>
        <v>54</v>
      </c>
      <c r="BB18" s="131">
        <f t="shared" si="15"/>
        <v>35</v>
      </c>
      <c r="BC18" s="127">
        <f>IF(ISNUMBER(W18),W18," - ")</f>
        <v>9</v>
      </c>
      <c r="BD18" s="128">
        <f>IF(ISNUMBER(BA18/AZ18),BA18/AZ18," - ")</f>
        <v>1.2558139534883721</v>
      </c>
      <c r="BE18" s="129">
        <f>IF(ISNUMBER(BB18/BA18),BB18/BA18, " - ")</f>
        <v>0.64814814814814814</v>
      </c>
      <c r="BF18" s="129">
        <f>IF(ISNUMBER(BC18/BA18),BC18/BA18, " - ")</f>
        <v>0.16666666666666666</v>
      </c>
      <c r="BG18" s="201">
        <f>IF(ISNUMBER((AY18+AZ18)/BA18),(AY18+AZ18)/BA18," - ")</f>
        <v>1.6481481481481481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760</v>
      </c>
      <c r="J20" s="189">
        <f t="shared" si="16"/>
        <v>1149</v>
      </c>
      <c r="K20" s="189">
        <f t="shared" si="16"/>
        <v>1288</v>
      </c>
      <c r="L20" s="189">
        <f t="shared" si="16"/>
        <v>621</v>
      </c>
      <c r="M20" s="189">
        <f t="shared" si="16"/>
        <v>78</v>
      </c>
      <c r="N20" s="189">
        <f t="shared" si="16"/>
        <v>1099</v>
      </c>
      <c r="O20" s="189">
        <f t="shared" si="16"/>
        <v>19</v>
      </c>
      <c r="P20" s="189">
        <f t="shared" si="16"/>
        <v>16</v>
      </c>
      <c r="Q20" s="189">
        <f t="shared" si="16"/>
        <v>21</v>
      </c>
      <c r="R20" s="189">
        <f t="shared" si="16"/>
        <v>47</v>
      </c>
      <c r="S20" s="189">
        <f t="shared" si="16"/>
        <v>710</v>
      </c>
      <c r="T20" s="189">
        <f t="shared" si="16"/>
        <v>1060</v>
      </c>
      <c r="U20" s="189">
        <f t="shared" si="16"/>
        <v>1069</v>
      </c>
      <c r="V20" s="189">
        <f t="shared" si="16"/>
        <v>701</v>
      </c>
      <c r="W20" s="189">
        <f t="shared" si="16"/>
        <v>75</v>
      </c>
      <c r="X20" s="189">
        <f t="shared" si="16"/>
        <v>841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710</v>
      </c>
      <c r="AZ20" s="189">
        <f>SUBTOTAL(9,AZ15:AZ19)</f>
        <v>1060</v>
      </c>
      <c r="BA20" s="189">
        <f>SUBTOTAL(9,BA15:BA19)</f>
        <v>1069</v>
      </c>
      <c r="BB20" s="189">
        <f>SUBTOTAL(9,BB15:BB19)</f>
        <v>701</v>
      </c>
      <c r="BC20" s="189">
        <f>SUBTOTAL(9,BC15:BC19)</f>
        <v>75</v>
      </c>
      <c r="BD20" s="210">
        <f>IF(ISNUMBER(BA20/AZ20),BA20/AZ20," - ")</f>
        <v>1.0084905660377359</v>
      </c>
      <c r="BE20" s="211">
        <f>IF(ISNUMBER(BB20/BA20),BB20/BA20, " - ")</f>
        <v>0.65575304022450887</v>
      </c>
      <c r="BF20" s="211">
        <f>IF(ISNUMBER(BC20/BA20),BC20/BA20, " - ")</f>
        <v>7.015902712815715E-2</v>
      </c>
      <c r="BG20" s="212">
        <f>IF(ISNUMBER((AY20+AZ20)/BA20),(AY20+AZ20)/BA20," - ")</f>
        <v>1.6557530402245089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1976</v>
      </c>
      <c r="J21" s="136">
        <f t="shared" si="19"/>
        <v>1752</v>
      </c>
      <c r="K21" s="136">
        <f t="shared" si="19"/>
        <v>1974</v>
      </c>
      <c r="L21" s="136">
        <f t="shared" si="19"/>
        <v>1754</v>
      </c>
      <c r="M21" s="136">
        <f t="shared" si="19"/>
        <v>169</v>
      </c>
      <c r="N21" s="136">
        <f t="shared" si="19"/>
        <v>1362</v>
      </c>
      <c r="O21" s="136">
        <f t="shared" si="19"/>
        <v>220</v>
      </c>
      <c r="P21" s="136">
        <f t="shared" si="19"/>
        <v>119</v>
      </c>
      <c r="Q21" s="136">
        <f t="shared" si="19"/>
        <v>94</v>
      </c>
      <c r="R21" s="136">
        <f t="shared" si="19"/>
        <v>1668</v>
      </c>
      <c r="S21" s="136">
        <f t="shared" si="19"/>
        <v>1720</v>
      </c>
      <c r="T21" s="136">
        <f t="shared" si="19"/>
        <v>1494</v>
      </c>
      <c r="U21" s="136">
        <f t="shared" si="19"/>
        <v>1488</v>
      </c>
      <c r="V21" s="136">
        <f t="shared" si="19"/>
        <v>1717</v>
      </c>
      <c r="W21" s="136">
        <f t="shared" si="19"/>
        <v>172</v>
      </c>
      <c r="X21" s="136">
        <f t="shared" si="19"/>
        <v>1005</v>
      </c>
      <c r="Y21" s="136">
        <f t="shared" si="19"/>
        <v>23</v>
      </c>
      <c r="Z21" s="136">
        <f t="shared" si="19"/>
        <v>35</v>
      </c>
      <c r="AA21" s="136">
        <f t="shared" si="19"/>
        <v>39</v>
      </c>
      <c r="AB21" s="136">
        <f t="shared" si="19"/>
        <v>19</v>
      </c>
      <c r="AC21" s="136">
        <f t="shared" si="19"/>
        <v>0</v>
      </c>
      <c r="AD21" s="136">
        <f t="shared" si="19"/>
        <v>0</v>
      </c>
      <c r="AE21" s="136">
        <f t="shared" si="19"/>
        <v>0</v>
      </c>
      <c r="AF21" s="136">
        <f t="shared" si="19"/>
        <v>0</v>
      </c>
      <c r="AG21" s="136">
        <f t="shared" si="19"/>
        <v>35</v>
      </c>
      <c r="AH21" s="136">
        <f t="shared" si="19"/>
        <v>40</v>
      </c>
      <c r="AI21" s="136">
        <f t="shared" si="19"/>
        <v>46</v>
      </c>
      <c r="AJ21" s="136">
        <f t="shared" si="19"/>
        <v>15</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1755</v>
      </c>
      <c r="AZ21" s="136">
        <f>SUBTOTAL(9,AZ9:AZ20)</f>
        <v>1534</v>
      </c>
      <c r="BA21" s="136">
        <f>SUBTOTAL(9,BA9:BA20)</f>
        <v>1534</v>
      </c>
      <c r="BB21" s="136">
        <f>SUBTOTAL(9,BB9:BB20)</f>
        <v>1732</v>
      </c>
      <c r="BC21" s="137">
        <f>SUBTOTAL(9,BC9:BC20)</f>
        <v>243</v>
      </c>
      <c r="BD21" s="218">
        <f>IF(ISNUMBER(BA21/AZ21),BA21/AZ21," - ")</f>
        <v>1</v>
      </c>
      <c r="BE21" s="215">
        <f>IF(ISNUMBER(BB21/BA21),BB21/BA21, " - ")</f>
        <v>1.1290743155149934</v>
      </c>
      <c r="BF21" s="215">
        <f>IF(ISNUMBER(BC21/BA21),BC21/BA21, " - ")</f>
        <v>0.15840938722294653</v>
      </c>
      <c r="BG21" s="137">
        <f>IF(ISNUMBER((AY21+AZ21)/BA21),(AY21+AZ21)/BA21," - ")</f>
        <v>2.1440677966101696</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eO0qlY9seUJ2Nd9Tf6tPWit5PdghGGGAmdtv2+iQdJXB9U/fkClNRMzP/begnooxWSJ/T6DilRh4J5TDdk+LA==" saltValue="CMhy49IBmdMMNgVQbcEB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Jp6PR/ldx7Jkxv7AQ4GMwq9hvLCWgkHelgqk2Jmf+LIn/XOUQrvlHR7+fAmbqE5dqHhbQQ6JjCO5U/RddHHYQ==" saltValue="KJdYp4vvKJBwjEjlcGSo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COIN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35</v>
      </c>
      <c r="O12" s="504"/>
      <c r="P12" s="504"/>
      <c r="Q12" s="502">
        <f>IF(ISNUMBER(Datos!P12),Datos!P12,0)</f>
        <v>103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v>
      </c>
      <c r="AI12" s="504" t="str">
        <f>IF(ISNUMBER(Datos!CD12),Datos!CD12,"-")</f>
        <v>-</v>
      </c>
      <c r="AJ12" s="504" t="str">
        <f>IF(ISNUMBER(Datos!EN12),Datos!EN12," - ")</f>
        <v xml:space="preserve"> - </v>
      </c>
      <c r="AK12" s="504"/>
      <c r="AL12" s="505"/>
      <c r="AM12" s="672">
        <f>IF(ISNUMBER(Datos!R12),Datos!R12," - ")</f>
        <v>1621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91</v>
      </c>
      <c r="BD12" s="620">
        <f>IF(ISNUMBER(Datos!N12),Datos!N12," - ")</f>
        <v>263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1.1381475667189953</v>
      </c>
      <c r="BH12" s="670">
        <f>IF(ISNUMBER(((IF(J_V="SI",Datos!L12/Datos!K12,(Datos!L12+Datos!AB12)/(Datos!K12+Datos!AA12)))*11)/factor_trimestre),((IF(J_V="SI",Datos!L12/Datos!K12,(Datos!L12+Datos!AB12)/(Datos!K12+Datos!AA12)))*11)/factor_trimestre," - ")</f>
        <v>4.7255172413793103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1.8856065367693273E-2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35</v>
      </c>
      <c r="O14" s="1047">
        <f t="shared" si="1"/>
        <v>0</v>
      </c>
      <c r="P14" s="1047">
        <f t="shared" si="1"/>
        <v>0</v>
      </c>
      <c r="Q14" s="1046">
        <f t="shared" si="1"/>
        <v>103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73</v>
      </c>
      <c r="AD14" s="1046">
        <f t="shared" si="2"/>
        <v>0</v>
      </c>
      <c r="AE14" s="1046">
        <f t="shared" si="2"/>
        <v>0</v>
      </c>
      <c r="AF14" s="1046">
        <f t="shared" si="2"/>
        <v>10</v>
      </c>
      <c r="AG14" s="1046">
        <f t="shared" si="2"/>
        <v>0</v>
      </c>
      <c r="AH14" s="1046">
        <f t="shared" si="2"/>
        <v>19</v>
      </c>
      <c r="AI14" s="1046">
        <f t="shared" si="2"/>
        <v>0</v>
      </c>
      <c r="AJ14" s="1046">
        <f t="shared" si="2"/>
        <v>0</v>
      </c>
      <c r="AK14" s="1046">
        <f t="shared" si="2"/>
        <v>0</v>
      </c>
      <c r="AL14" s="1046">
        <f t="shared" si="2"/>
        <v>0</v>
      </c>
      <c r="AM14" s="1046">
        <f t="shared" si="2"/>
        <v>1621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91</v>
      </c>
      <c r="BD14" s="1046">
        <f t="shared" si="2"/>
        <v>263</v>
      </c>
      <c r="BE14" s="1046">
        <f t="shared" si="2"/>
        <v>0</v>
      </c>
      <c r="BF14" s="1046">
        <f t="shared" si="2"/>
        <v>0</v>
      </c>
      <c r="BG14" s="1046">
        <f>IF(ISNUMBER(Datos!K14/Datos!J14),Datos!K14/Datos!J14," - ")</f>
        <v>1.1376451077943615</v>
      </c>
      <c r="BH14" s="1050">
        <f>IF(ISNUMBER(((Datos!L14/Datos!K14)*11)/factor_trimestre),((Datos!L14/Datos!K14)*11)/factor_trimestre," - ")</f>
        <v>4.9548104956268224</v>
      </c>
      <c r="BI14" s="1046">
        <f>IF(ISNUMBER('Resol  Asuntos'!D14/NºAsuntos!G14),'Resol  Asuntos'!D14/NºAsuntos!G14," - ")</f>
        <v>0.12551724137931033</v>
      </c>
      <c r="BJ14" s="1046" t="str">
        <f>IF(ISNUMBER(Datos!CI14/Datos!CJ14),Datos!CI14/Datos!CJ14," - ")</f>
        <v xml:space="preserve"> - </v>
      </c>
      <c r="BK14" s="1046">
        <f>SUBTOTAL(9,BK8:BK13)</f>
        <v>0</v>
      </c>
      <c r="BL14" s="1046">
        <f>IF(ISNUMBER((I14-AB14+L14)/(F14)),(I14-AB14+L14)/(F14)," - ")</f>
        <v>0</v>
      </c>
      <c r="BM14" s="1051">
        <f>SUBTOTAL(9,BM9:BM13)</f>
        <v>1.8856065367693273E-2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716</v>
      </c>
      <c r="G17" s="651">
        <f>IF(ISNUMBER(IF(D_I="SI",Datos!I17,Datos!I17+Datos!AC17)),IF(D_I="SI",Datos!I17,Datos!I17+Datos!AC17)," - ")</f>
        <v>716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1226</v>
      </c>
      <c r="AC17" s="231">
        <f>IF(ISNUMBER(Datos!Q17),Datos!Q17," - ")</f>
        <v>21</v>
      </c>
      <c r="AD17" s="344"/>
      <c r="AE17" s="516"/>
      <c r="AF17" s="649">
        <f>IF(ISNUMBER(IF(D_I="SI",Datos!L17,Datos!L17+Datos!AF17)),IF(D_I="SI",Datos!L17,Datos!L17+Datos!AF17)," - ")</f>
        <v>582</v>
      </c>
      <c r="AG17" s="344"/>
      <c r="AH17" s="344"/>
      <c r="AI17" s="344"/>
      <c r="AJ17" s="504"/>
      <c r="AK17" s="344"/>
      <c r="AL17" s="500"/>
      <c r="AM17" s="345">
        <f>IF(ISNUMBER(Datos!R17),Datos!R17," - ")</f>
        <v>47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76</v>
      </c>
      <c r="BD17" s="234">
        <f>IF(ISNUMBER(Datos!N17),Datos!N17," - ")</f>
        <v>1069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1.1227106227106227</v>
      </c>
      <c r="BH17" s="670">
        <f>IF(ISNUMBER(((IF(D_I="SI",Datos!L17/Datos!K17,(Datos!L17+Datos!AF17)/(Datos!K17+Datos!AE17)))*11)/factor_trimestre),((IF(D_I="SI",Datos!L17/Datos!K17,(Datos!L17+Datos!AF17)/(Datos!K17+Datos!AE17)))*11)/factor_trimestre," - ")</f>
        <v>1.4241435562805873</v>
      </c>
      <c r="BI17" s="248">
        <f>IF(ISNUMBER('Resol  Asuntos'!D17/NºAsuntos!G17),'Resol  Asuntos'!D17/NºAsuntos!G17," - ")</f>
        <v>6.1990212071778142E-2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62</v>
      </c>
      <c r="AC18" s="502">
        <f>IF(ISNUMBER(Datos!Q18),Datos!Q18," - ")</f>
        <v>0</v>
      </c>
      <c r="AD18" s="504"/>
      <c r="AE18" s="516"/>
      <c r="AF18" s="506">
        <f>IF(ISNUMBER(Datos!L18),Datos!L18,"-")</f>
        <v>39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30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1.0877192982456141</v>
      </c>
      <c r="BH18" s="670">
        <f>IF(ISNUMBER(((IF(D_I="SI",Datos!L18/Datos!K18,(Datos!L18+Datos!AF18)/(Datos!K18+Datos!AE18)))*11)/factor_trimestre),((IF(D_I="SI",Datos!L18/Datos!K18,(Datos!L18+Datos!AF18)/(Datos!K18+Datos!AE18)))*11)/factor_trimestre," - ")</f>
        <v>1.8870967741935483</v>
      </c>
      <c r="BI18" s="669">
        <f>IF(ISNUMBER('Resol  Asuntos'!D18/NºAsuntos!G18),'Resol  Asuntos'!D18/NºAsuntos!G18," - ")</f>
        <v>3.2258064516129031E-2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716</v>
      </c>
      <c r="G20" s="1045">
        <f>SUBTOTAL(9,G16:G19)</f>
        <v>760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1288</v>
      </c>
      <c r="AC20" s="1046">
        <f t="shared" si="5"/>
        <v>21</v>
      </c>
      <c r="AD20" s="1046">
        <f t="shared" si="5"/>
        <v>0</v>
      </c>
      <c r="AE20" s="1046">
        <f t="shared" si="5"/>
        <v>0</v>
      </c>
      <c r="AF20" s="1046">
        <f t="shared" si="5"/>
        <v>621</v>
      </c>
      <c r="AG20" s="1046">
        <f t="shared" si="5"/>
        <v>0</v>
      </c>
      <c r="AH20" s="1046">
        <f t="shared" si="5"/>
        <v>0</v>
      </c>
      <c r="AI20" s="1046">
        <f t="shared" si="5"/>
        <v>0</v>
      </c>
      <c r="AJ20" s="1046">
        <f t="shared" si="5"/>
        <v>0</v>
      </c>
      <c r="AK20" s="1046">
        <f t="shared" si="5"/>
        <v>0</v>
      </c>
      <c r="AL20" s="1046">
        <f t="shared" si="5"/>
        <v>0</v>
      </c>
      <c r="AM20" s="1046">
        <f t="shared" si="5"/>
        <v>47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78</v>
      </c>
      <c r="BD20" s="1046">
        <f t="shared" si="5"/>
        <v>1099</v>
      </c>
      <c r="BE20" s="1046">
        <f t="shared" si="5"/>
        <v>0</v>
      </c>
      <c r="BF20" s="1046">
        <f t="shared" si="5"/>
        <v>0</v>
      </c>
      <c r="BG20" s="1046">
        <f>IF(ISNUMBER(Datos!K20/Datos!J20),Datos!K20/Datos!J20," - ")</f>
        <v>1.1209747606614446</v>
      </c>
      <c r="BH20" s="1050">
        <f>IF(ISNUMBER(((Datos!L20/Datos!K20)*11)/factor_trimestre),((Datos!L20/Datos!K20)*11)/factor_trimestre," - ")</f>
        <v>1.4464285714285716</v>
      </c>
      <c r="BI20" s="1046">
        <f>SUBTOTAL(9,BI16:BI19)</f>
        <v>9.4248276587907173E-2</v>
      </c>
      <c r="BJ20" s="1046">
        <f>SUBTOTAL(9,BJ16:BJ19)</f>
        <v>0</v>
      </c>
      <c r="BK20" s="1046">
        <f>SUBTOTAL(9,BK16:BK19)</f>
        <v>0</v>
      </c>
      <c r="BL20" s="1046">
        <f>IF(ISNUMBER((I20-AB20+L20)/(F20)),(I20-AB20+L20)/(F20)," - ")</f>
        <v>-1.7988826815642458</v>
      </c>
      <c r="BM20" s="1052">
        <f>IF(ISNUMBER((Datos!P20-Datos!Q20)/(Datos!R20-Datos!P20+Datos!Q20)),(Datos!P20-Datos!Q20)/(Datos!R20-Datos!P20+Datos!Q20)," - ")</f>
        <v>-9.6153846153846159E-2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725</v>
      </c>
      <c r="G21" s="967">
        <f t="shared" si="7"/>
        <v>769</v>
      </c>
      <c r="H21" s="969">
        <f t="shared" si="7"/>
        <v>0</v>
      </c>
      <c r="I21" s="967">
        <f t="shared" si="7"/>
        <v>0</v>
      </c>
      <c r="J21" s="969">
        <f t="shared" si="7"/>
        <v>0</v>
      </c>
      <c r="K21" s="969">
        <f t="shared" si="7"/>
        <v>0</v>
      </c>
      <c r="L21" s="1028">
        <f t="shared" si="7"/>
        <v>0</v>
      </c>
      <c r="M21" s="1028">
        <f t="shared" si="7"/>
        <v>0</v>
      </c>
      <c r="N21" s="1028">
        <f t="shared" si="7"/>
        <v>35</v>
      </c>
      <c r="O21" s="1028">
        <f t="shared" si="7"/>
        <v>0</v>
      </c>
      <c r="P21" s="1028">
        <f t="shared" si="7"/>
        <v>0</v>
      </c>
      <c r="Q21" s="969">
        <f t="shared" si="7"/>
        <v>119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1288</v>
      </c>
      <c r="AC21" s="968">
        <f t="shared" si="8"/>
        <v>94</v>
      </c>
      <c r="AD21" s="968">
        <f t="shared" si="8"/>
        <v>0</v>
      </c>
      <c r="AE21" s="968">
        <f t="shared" si="8"/>
        <v>0</v>
      </c>
      <c r="AF21" s="975">
        <f t="shared" si="8"/>
        <v>631</v>
      </c>
      <c r="AG21" s="975">
        <f t="shared" si="8"/>
        <v>0</v>
      </c>
      <c r="AH21" s="975">
        <f t="shared" si="8"/>
        <v>19</v>
      </c>
      <c r="AI21" s="975">
        <f t="shared" si="8"/>
        <v>0</v>
      </c>
      <c r="AJ21" s="968">
        <f t="shared" si="8"/>
        <v>0</v>
      </c>
      <c r="AK21" s="975">
        <f t="shared" si="8"/>
        <v>0</v>
      </c>
      <c r="AL21" s="975">
        <f t="shared" si="8"/>
        <v>0</v>
      </c>
      <c r="AM21" s="975">
        <f t="shared" si="8"/>
        <v>1668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169</v>
      </c>
      <c r="BD21" s="967">
        <f t="shared" si="8"/>
        <v>1362</v>
      </c>
      <c r="BE21" s="967">
        <f t="shared" si="8"/>
        <v>0</v>
      </c>
      <c r="BF21" s="977">
        <f t="shared" si="8"/>
        <v>0</v>
      </c>
      <c r="BG21" s="1062">
        <f>IF(ISNUMBER(Datos!K21/Datos!J21),Datos!K21/Datos!J21," - ")</f>
        <v>1.1267123287671232</v>
      </c>
      <c r="BH21" s="1062">
        <f>IF(ISNUMBER(((Datos!L21/Datos!K21)*11)/factor_trimestre),((Datos!L21/Datos!K21)*11)/factor_trimestre," - ")</f>
        <v>2.6656534954407296</v>
      </c>
      <c r="BI21" s="960">
        <f>IF(ISNUMBER(Datos!J21/Datos!I21),Datos!J21/Datos!I21," - ")</f>
        <v>0.88663967611336036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-1.7765517241379309</v>
      </c>
      <c r="BM21" s="1036">
        <f>IF(ISNUMBER((Datos!P21-Datos!Q21+R21)/(Datos!R21-Datos!P21+Datos!Q21-R21)),(Datos!P21-Datos!Q21+R21)/(Datos!R21-Datos!P21+Datos!Q21-R21)," - ")</f>
        <v>1.5216068167985392E-2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307.60000000000002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408.18664031706544</v>
      </c>
      <c r="G23" s="601">
        <f>IF(ISNUMBER(STDEV(G8:G20)),STDEV(G8:G20),"-")</f>
        <v>393.467025301994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677.99498523219188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43.325127428164208</v>
      </c>
      <c r="BD23" s="600"/>
      <c r="BE23" s="600">
        <f>IF(ISNUMBER(STDEV(BE8:BE20)),STDEV(BE8:BE20),"-")</f>
        <v>0</v>
      </c>
      <c r="BF23" s="605">
        <f>IF(ISNUMBER(STDEV(BF8:BF20)),STDEV(BF8:BF20),"-")</f>
        <v>0</v>
      </c>
      <c r="BG23" s="915">
        <f>IF(ISNUMBER(STDEV(BG8:BG20)),STDEV(BG8:BG20),"-")</f>
        <v>0.45819269701284399</v>
      </c>
      <c r="BH23" s="919">
        <f>IF(ISNUMBER(STDEV(BH8:BH20)),STDEV(BH8:BH20),"-")</f>
        <v>1.7938077916425699</v>
      </c>
      <c r="BI23" s="254">
        <f>IF(ISNUMBER(STDEV(BI8:BI20)),STDEV(BI8:BI20),"-")</f>
        <v>4.0288620600058889E-2</v>
      </c>
      <c r="BJ23" s="235" t="str">
        <f>IF(ISNUMBER(BL23/BM23),BL23/BM23," - ")</f>
        <v xml:space="preserve"> - </v>
      </c>
      <c r="BK23" s="627"/>
      <c r="BL23" s="608">
        <f>IF(ISNUMBER(STDEV(BL8:BL20)),STDEV(BL8:BL20),"-")</f>
        <v>1.272002142693119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BVp8ie6u4d4qsQT6GqVdCbW2IULsjhy/jKobnu6xm26nsbrjzR3WdVEWTh475EdwaYyrH4F892aLr5dDRnIzg==" saltValue="yzDy4IJPx8lTGdkHdRIk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COIN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73</v>
      </c>
      <c r="AA12" s="506" t="str">
        <f>IF(ISNUMBER(IF(J_V="SI",Datos!L12,Datos!L12+Datos!AB12)-IF(Monitorios="SI",Datos!CD12,0)),
                          IF(J_V="SI",Datos!L12,Datos!L12+Datos!AB12)-IF(Monitorios="SI",Datos!CD12,0),
                          " - ")</f>
        <v xml:space="preserve"> - </v>
      </c>
      <c r="AB12" s="504"/>
      <c r="AC12" s="504"/>
      <c r="AD12" s="517"/>
      <c r="AE12" s="517">
        <f>IF(ISNUMBER(Datos!R12),Datos!R12," - ")</f>
        <v>1621</v>
      </c>
      <c r="AF12" s="620" t="str">
        <f>IF(ISNUMBER(Datos!BV12),Datos!BV12," - ")</f>
        <v xml:space="preserve"> - </v>
      </c>
      <c r="AG12" s="507" t="str">
        <f>IF(ISNUMBER(Datos!DV12),Datos!DV12," - ")</f>
        <v xml:space="preserve"> - </v>
      </c>
      <c r="AH12" s="508"/>
      <c r="AI12" s="509"/>
      <c r="AJ12" s="507">
        <f>IF(ISNUMBER(Datos!M12),Datos!M12," - ")</f>
        <v>91</v>
      </c>
      <c r="AK12" s="620">
        <f>IF(ISNUMBER(Datos!N12),Datos!N12," - ")</f>
        <v>263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4.7255172413793103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1.8856065367693273E-2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103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73</v>
      </c>
      <c r="AA14" s="1047">
        <f t="shared" si="3"/>
        <v>10</v>
      </c>
      <c r="AB14" s="1047">
        <f t="shared" si="3"/>
        <v>0</v>
      </c>
      <c r="AC14" s="1047">
        <f t="shared" si="3"/>
        <v>0</v>
      </c>
      <c r="AD14" s="1047">
        <f t="shared" si="3"/>
        <v>0</v>
      </c>
      <c r="AE14" s="1047">
        <f t="shared" si="3"/>
        <v>1621</v>
      </c>
      <c r="AF14" s="1055">
        <f t="shared" si="3"/>
        <v>0</v>
      </c>
      <c r="AG14" s="1055">
        <f t="shared" si="3"/>
        <v>0</v>
      </c>
      <c r="AH14" s="1055">
        <f t="shared" si="3"/>
        <v>0</v>
      </c>
      <c r="AI14" s="1055">
        <f t="shared" si="3"/>
        <v>0</v>
      </c>
      <c r="AJ14" s="1055">
        <f t="shared" si="3"/>
        <v>91</v>
      </c>
      <c r="AK14" s="1055">
        <f t="shared" si="3"/>
        <v>263</v>
      </c>
      <c r="AL14" s="1055">
        <f t="shared" si="3"/>
        <v>0</v>
      </c>
      <c r="AM14" s="1055">
        <f t="shared" si="3"/>
        <v>0</v>
      </c>
      <c r="AN14" s="1055">
        <f t="shared" si="3"/>
        <v>0</v>
      </c>
      <c r="AO14" s="1051">
        <f>IF(ISNUMBER(((NºAsuntos!I14/NºAsuntos!G14)*11)/factor_trimestre),((NºAsuntos!I14/NºAsuntos!G14)*11)/factor_trimestre," - ")</f>
        <v>4.7668965517241384</v>
      </c>
      <c r="AP14" s="1057" t="str">
        <f>IF(ISNUMBER(Datos!CI14/Datos!CJ14),Datos!CI14/Datos!CJ14," - ")</f>
        <v xml:space="preserve"> - </v>
      </c>
      <c r="AQ14" s="1075">
        <f t="shared" ref="AQ14:AV14" si="4">SUBTOTAL(9,AQ9:AQ13)</f>
        <v>0</v>
      </c>
      <c r="AR14" s="1075">
        <f t="shared" si="4"/>
        <v>1.8856065367693273E-2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716</v>
      </c>
      <c r="G17" s="507">
        <f>IF(ISNUMBER(IF(D_I="SI",Datos!I17,Datos!I17+Datos!AC17)),IF(D_I="SI",Datos!I17,Datos!I17+Datos!AC17)," - ")</f>
        <v>716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1226</v>
      </c>
      <c r="Z17" s="704">
        <f>IF(ISNUMBER(Datos!Q17),Datos!Q17," - ")</f>
        <v>21</v>
      </c>
      <c r="AA17" s="506">
        <f>IF(ISNUMBER(IF(D_I="SI",Datos!L17,Datos!L17+Datos!AF17)),IF(D_I="SI",Datos!L17,Datos!L17+Datos!AF17)," - ")</f>
        <v>582</v>
      </c>
      <c r="AB17" s="504"/>
      <c r="AC17" s="504"/>
      <c r="AD17" s="517"/>
      <c r="AE17" s="517">
        <f>IF(ISNUMBER(Datos!R17),Datos!R17," - ")</f>
        <v>47</v>
      </c>
      <c r="AF17" s="620" t="str">
        <f>IF(ISNUMBER(Datos!BV17),Datos!BV17," - ")</f>
        <v xml:space="preserve"> - </v>
      </c>
      <c r="AG17" s="507"/>
      <c r="AH17" s="508"/>
      <c r="AI17" s="509"/>
      <c r="AJ17" s="507">
        <f>IF(ISNUMBER(Datos!M17),Datos!M17," - ")</f>
        <v>76</v>
      </c>
      <c r="AK17" s="620">
        <f>IF(ISNUMBER(Datos!N17),Datos!N17," - ")</f>
        <v>1069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1.4241435562805873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62</v>
      </c>
      <c r="Z18" s="704">
        <f>IF(ISNUMBER(Datos!Q18),Datos!Q18," - ")</f>
        <v>0</v>
      </c>
      <c r="AA18" s="506">
        <f>IF(ISNUMBER(Datos!L18),Datos!L18,"-")</f>
        <v>39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30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1.8870967741935483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716</v>
      </c>
      <c r="G20" s="1045">
        <f>SUBTOTAL(9,G16:G19)</f>
        <v>760</v>
      </c>
      <c r="H20" s="1079">
        <f>SUBTOTAL(9,H16:H19)</f>
        <v>0</v>
      </c>
      <c r="I20" s="1058">
        <f>SUBTOTAL(9,I16:I19)</f>
        <v>0</v>
      </c>
      <c r="J20" s="1014">
        <f>SUBTOTAL(9,J15:J19)</f>
        <v>0</v>
      </c>
      <c r="K20" s="1079">
        <f t="shared" ref="K20:S20" si="5">SUBTOTAL(9,K16:K19)</f>
        <v>0</v>
      </c>
      <c r="L20" s="1079">
        <f t="shared" si="5"/>
        <v>0</v>
      </c>
      <c r="M20" s="1079">
        <f t="shared" si="5"/>
        <v>0</v>
      </c>
      <c r="N20" s="1079">
        <f t="shared" si="5"/>
        <v>16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1288</v>
      </c>
      <c r="Z20" s="1079">
        <f t="shared" si="6"/>
        <v>21</v>
      </c>
      <c r="AA20" s="1079">
        <f t="shared" si="6"/>
        <v>621</v>
      </c>
      <c r="AB20" s="1079">
        <f t="shared" si="6"/>
        <v>0</v>
      </c>
      <c r="AC20" s="1079">
        <f t="shared" si="6"/>
        <v>0</v>
      </c>
      <c r="AD20" s="1079">
        <f t="shared" si="6"/>
        <v>0</v>
      </c>
      <c r="AE20" s="1079">
        <f t="shared" si="6"/>
        <v>47</v>
      </c>
      <c r="AF20" s="1079">
        <f t="shared" si="6"/>
        <v>0</v>
      </c>
      <c r="AG20" s="1079">
        <f t="shared" si="6"/>
        <v>0</v>
      </c>
      <c r="AH20" s="1079">
        <f t="shared" si="6"/>
        <v>0</v>
      </c>
      <c r="AI20" s="1079">
        <f t="shared" si="6"/>
        <v>0</v>
      </c>
      <c r="AJ20" s="1079">
        <f t="shared" si="6"/>
        <v>78</v>
      </c>
      <c r="AK20" s="1079">
        <f t="shared" si="6"/>
        <v>1099</v>
      </c>
      <c r="AL20" s="1079">
        <f t="shared" si="6"/>
        <v>0</v>
      </c>
      <c r="AM20" s="1079">
        <f t="shared" si="6"/>
        <v>0</v>
      </c>
      <c r="AN20" s="1079">
        <f t="shared" si="6"/>
        <v>0</v>
      </c>
      <c r="AO20" s="1081">
        <f>IF(ISNUMBER(((NºAsuntos!I20/NºAsuntos!G20)*11)/factor_trimestre),((NºAsuntos!I20/NºAsuntos!G20)*11)/factor_trimestre," - ")</f>
        <v>1.4464285714285716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725</v>
      </c>
      <c r="G21" s="967">
        <f t="shared" si="8"/>
        <v>769</v>
      </c>
      <c r="H21" s="968">
        <f t="shared" si="8"/>
        <v>0</v>
      </c>
      <c r="I21" s="967">
        <f t="shared" si="8"/>
        <v>0</v>
      </c>
      <c r="J21" s="969">
        <f t="shared" si="8"/>
        <v>0</v>
      </c>
      <c r="K21" s="967">
        <f t="shared" si="8"/>
        <v>0</v>
      </c>
      <c r="L21" s="970">
        <f t="shared" si="8"/>
        <v>0</v>
      </c>
      <c r="M21" s="967">
        <f t="shared" si="8"/>
        <v>0</v>
      </c>
      <c r="N21" s="968">
        <f t="shared" si="8"/>
        <v>119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1288</v>
      </c>
      <c r="Z21" s="974">
        <f t="shared" si="9"/>
        <v>94</v>
      </c>
      <c r="AA21" s="975">
        <f t="shared" si="9"/>
        <v>631</v>
      </c>
      <c r="AB21" s="975">
        <f t="shared" si="9"/>
        <v>0</v>
      </c>
      <c r="AC21" s="975">
        <f t="shared" si="9"/>
        <v>0</v>
      </c>
      <c r="AD21" s="976">
        <f t="shared" si="9"/>
        <v>0</v>
      </c>
      <c r="AE21" s="976">
        <f t="shared" si="9"/>
        <v>1668</v>
      </c>
      <c r="AF21" s="977">
        <f t="shared" si="9"/>
        <v>0</v>
      </c>
      <c r="AG21" s="978">
        <f t="shared" si="9"/>
        <v>0</v>
      </c>
      <c r="AH21" s="979">
        <f t="shared" si="9"/>
        <v>0</v>
      </c>
      <c r="AI21" s="977">
        <f t="shared" si="9"/>
        <v>0</v>
      </c>
      <c r="AJ21" s="967">
        <f t="shared" si="9"/>
        <v>169</v>
      </c>
      <c r="AK21" s="967">
        <f t="shared" si="9"/>
        <v>1362</v>
      </c>
      <c r="AL21" s="967">
        <f t="shared" si="9"/>
        <v>0</v>
      </c>
      <c r="AM21" s="980">
        <f t="shared" si="9"/>
        <v>0</v>
      </c>
      <c r="AN21" s="970">
        <f>IF(ISNUMBER(Datos!K21/Datos!J21),Datos!K21/Datos!J21," - ")</f>
        <v>1.1267123287671232</v>
      </c>
      <c r="AO21" s="970">
        <f>IF(ISNUMBER(FIND("06",Criterios!A8,1)),(IF(ISNUMBER(((Datos!R21/Datos!Q21)*11)/factor_trimestre),((Datos!R21/Datos!Q21)*11)/factor_trimestre," - ")),(IF(ISNUMBER(((Datos!L21/Datos!K21)*11)/factor_trimestre),((Datos!L21/Datos!K21)*11)/factor_trimestre," - ")))</f>
        <v>2.6656534954407296</v>
      </c>
      <c r="AP21" s="981" t="str">
        <f>IF(ISNUMBER(Datos!CI21/Datos!CJ21),Datos!CI21/Datos!CJ21," - ")</f>
        <v xml:space="preserve"> - </v>
      </c>
      <c r="AQ21" s="981">
        <f>IF(OR(ISNUMBER(FIND("01",Criterios!A8,1)),ISNUMBER(FIND("02",Criterios!A8,1)),ISNUMBER(FIND("03",Criterios!A8,1)),ISNUMBER(FIND("04",Criterios!A8,1))),(J21-Y21+K21)/(F21-K21),(I21-Y21+K21)/(F21-K21))</f>
        <v>-1.7765517241379309</v>
      </c>
      <c r="AR21" s="981">
        <f>IF(ISNUMBER((Datos!P21-Datos!Q21+O21)/(Datos!R21-Datos!P21+Datos!Q21-O21)),(Datos!P21-Datos!Q21+O21)/(Datos!R21-Datos!P21+Datos!Q21-O21)," - ")</f>
        <v>1.5216068167985392E-2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307.60000000000002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408.18664031706544</v>
      </c>
      <c r="G23" s="601">
        <f>IF(ISNUMBER(STDEV(G8:G20)),STDEV(G8:G20),"-")</f>
        <v>393.467025301994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43.325127428164208</v>
      </c>
      <c r="AK23" s="257"/>
      <c r="AL23" s="257">
        <f>IF(ISNUMBER(STDEV(AL8:AL20)),STDEV(AL8:AL20),"-")</f>
        <v>0</v>
      </c>
      <c r="AM23" s="259">
        <f>IF(ISNUMBER(STDEV(AM8:AM20)),STDEV(AM8:AM20),"-")</f>
        <v>0</v>
      </c>
      <c r="AN23" s="587">
        <f>IF(ISNUMBER(STDEV(AN8:AN20)),STDEV(AN8:AN20),"-")</f>
        <v>0</v>
      </c>
      <c r="AO23" s="588">
        <f>IF(ISNUMBER(STDEV(AO8:AO20)),STDEV(AO8:AO20),"-")</f>
        <v>1.7408560600191749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5ViZSkG/KQN1ssFDPt44urOq4Ld1hFdGm717FDRwzP7o9+165fwBJP2/OtPRUXyZ4X2uKIGjrkh6TQ4M3WokQ==" saltValue="wswnNG03HM4rYxGsz9BU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pBEUOD+floOlAVY2w4ZASsqh1UQ+513YooE9uh81v258c+qmdDYuMb02M5/i04tRklvHRpm2UCvPNWANqihMw==" saltValue="G37w1twc3AGimttfHxXB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g8X3z8zOyD36qqD/WuDfrMiyS4aO5EKZCUWFIBGMLdk6zIkmkXWuj7DAG1MlVK5F7X1MBzGY9gTtmtgq7Cfjg==" saltValue="bX1qEIvcaHtdykQPQhtb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COIN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0.12551724137931033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8.8754092535139065E-2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JGolpSiN2R1YFTctrL7NAfoQnK8aAqz8lY6LWgViwlf227xTwGxd29RxTd+Ma5kcep8KJo+6ioIHjs9pj1LDQ==" saltValue="ihf/Za6LoqiR+nwcSVul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xVbRnaJYlvUwIghl1syb/lFWH21AQN0UE+CelycyXoa2IY/Y3fdNaQtroc8UjZedGENvSdMpnNCbmGx2ZrUmA==" saltValue="urCew5vqhJU5ZFc7GMwK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COIN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1</v>
      </c>
      <c r="F10" s="416">
        <f>IF(ISNUMBER(E10/B10),E10/B10," - ")</f>
        <v>1</v>
      </c>
      <c r="G10" s="415">
        <f>IF(ISNUMBER(Datos!K10),Datos!K10," - ")</f>
        <v>0</v>
      </c>
      <c r="H10" s="416">
        <f>IF(ISNUMBER(G10/B10),G10/B10," - ")</f>
        <v>0</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1230</v>
      </c>
      <c r="D12" s="416">
        <f>IF(ISNUMBER(C12/Datos!BH12),C12/Datos!BH12," - ")</f>
        <v>410</v>
      </c>
      <c r="E12" s="415">
        <f>IF(ISNUMBER(IF(J_V="SI",Datos!J12,Datos!J12+Datos!Z12)),IF(J_V="SI",Datos!J12,Datos!J12+Datos!Z12)," - ")</f>
        <v>637</v>
      </c>
      <c r="F12" s="416">
        <f>IF(ISNUMBER(E12/B12),E12/B12," - ")</f>
        <v>212.33333333333334</v>
      </c>
      <c r="G12" s="415">
        <f>IF(ISNUMBER(IF(J_V="SI",Datos!K12,Datos!K12+Datos!AA12)),IF(J_V="SI",Datos!K12,Datos!K12+Datos!AA12)," - ")</f>
        <v>725</v>
      </c>
      <c r="H12" s="416">
        <f>IF(ISNUMBER(G12/B12),G12/B12," - ")</f>
        <v>241.66666666666666</v>
      </c>
      <c r="I12" s="415">
        <f>IF(ISNUMBER(IF(J_V="SI",Datos!L12,Datos!L12+Datos!AB12)),IF(J_V="SI",Datos!L12,Datos!L12+Datos!AB12)," - ")</f>
        <v>1142</v>
      </c>
      <c r="J12" s="416">
        <f>IF(ISNUMBER(I12/B12),I12/B12," - ")</f>
        <v>380.66666666666669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1239</v>
      </c>
      <c r="D14" s="997" t="str">
        <f>IF(ISNUMBER(C14/Datos!BI14),C14/Datos!BI14," - ")</f>
        <v xml:space="preserve"> - </v>
      </c>
      <c r="E14" s="996">
        <f>SUBTOTAL(9,E8:E13)</f>
        <v>638</v>
      </c>
      <c r="F14" s="997">
        <f>IF(ISNUMBER(E14/B14),E14/B14," - ")</f>
        <v>212.66666666666666</v>
      </c>
      <c r="G14" s="996">
        <f>SUBTOTAL(9,G8:G13)</f>
        <v>725</v>
      </c>
      <c r="H14" s="997">
        <f>IF(ISNUMBER(G14/B14),G14/B14," - ")</f>
        <v>241.66666666666666</v>
      </c>
      <c r="I14" s="996">
        <f>SUBTOTAL(9,I8:I13)</f>
        <v>1152</v>
      </c>
      <c r="J14" s="997">
        <f>IF(ISNUMBER(I14/B14),I14/B14," - ")</f>
        <v>384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716</v>
      </c>
      <c r="D17" s="416">
        <f>IF(ISNUMBER(C17/Datos!BH17),C17/Datos!BH17," - ")</f>
        <v>238.66666666666666</v>
      </c>
      <c r="E17" s="415">
        <f>IF(ISNUMBER(IF(D_I="SI",Datos!J17,Datos!J17+Datos!AD17)),IF(D_I="SI",Datos!J17,Datos!J17+Datos!AD17)," - ")</f>
        <v>1092</v>
      </c>
      <c r="F17" s="416">
        <f>IF(ISNUMBER(E17/B17),E17/B17," - ")</f>
        <v>364</v>
      </c>
      <c r="G17" s="415">
        <f>IF(ISNUMBER(IF(D_I="SI",Datos!K17,Datos!K17+Datos!AE17)),IF(D_I="SI",Datos!K17,Datos!K17+Datos!AE17)," - ")</f>
        <v>1226</v>
      </c>
      <c r="H17" s="416">
        <f>IF(ISNUMBER(G17/B17),G17/B17," - ")</f>
        <v>408.66666666666669</v>
      </c>
      <c r="I17" s="415">
        <f>IF(ISNUMBER(IF(D_I="SI",Datos!L17,Datos!L17+Datos!AF17)),IF(D_I="SI",Datos!L17,Datos!L17+Datos!AF17)," - ")</f>
        <v>582</v>
      </c>
      <c r="J17" s="416">
        <f>IF(ISNUMBER(I17/B17),I17/B17," - ")</f>
        <v>194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44</v>
      </c>
      <c r="D18" s="416">
        <f>IF(ISNUMBER(C18/Datos!BH18),C18/Datos!BH18," - ")</f>
        <v>44</v>
      </c>
      <c r="E18" s="415">
        <f>IF(ISNUMBER(IF(D_I="SI",Datos!J18,Datos!J18+Datos!AD18)),IF(D_I="SI",Datos!J18,Datos!J18+Datos!AD18)," - ")</f>
        <v>57</v>
      </c>
      <c r="F18" s="416">
        <f>IF(ISNUMBER(E18/B18),E18/B18," - ")</f>
        <v>57</v>
      </c>
      <c r="G18" s="415">
        <f>IF(ISNUMBER(IF(D_I="SI",Datos!K18,Datos!K18+Datos!AE18)),IF(D_I="SI",Datos!K18,Datos!K18+Datos!AE18)," - ")</f>
        <v>62</v>
      </c>
      <c r="H18" s="416">
        <f>IF(ISNUMBER(G18/B18),G18/B18," - ")</f>
        <v>62</v>
      </c>
      <c r="I18" s="415">
        <f>IF(ISNUMBER(IF(D_I="SI",Datos!L18,Datos!L18+Datos!AF18)),IF(D_I="SI",Datos!L18,Datos!L18+Datos!AF18)," - ")</f>
        <v>39</v>
      </c>
      <c r="J18" s="416">
        <f>IF(ISNUMBER(I18/B18),I18/B18," - ")</f>
        <v>39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760</v>
      </c>
      <c r="D20" s="997" t="str">
        <f>IF(ISNUMBER(C20/Datos!BI20),C20/Datos!BI20," - ")</f>
        <v xml:space="preserve"> - </v>
      </c>
      <c r="E20" s="996">
        <f>SUBTOTAL(9,E15:E19)</f>
        <v>1149</v>
      </c>
      <c r="F20" s="997">
        <f>IF(ISNUMBER(E20/B20),E20/B20," - ")</f>
        <v>383</v>
      </c>
      <c r="G20" s="996">
        <f>SUBTOTAL(9,G15:G19)</f>
        <v>1288</v>
      </c>
      <c r="H20" s="997">
        <f>IF(ISNUMBER(G20/B20),G20/B20," - ")</f>
        <v>429.33333333333331</v>
      </c>
      <c r="I20" s="996">
        <f>SUBTOTAL(9,I15:I19)</f>
        <v>621</v>
      </c>
      <c r="J20" s="997">
        <f>IF(ISNUMBER(I20/B20),I20/B20," - ")</f>
        <v>207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1999</v>
      </c>
      <c r="D21" s="942" t="str">
        <f>IF(ISNUMBER(C21/Datos!BI21),C21/Datos!BI21," - ")</f>
        <v xml:space="preserve"> - </v>
      </c>
      <c r="E21" s="941">
        <f>SUBTOTAL(9,E9:E20)</f>
        <v>1787</v>
      </c>
      <c r="F21" s="942">
        <f>IF(ISNUMBER(E21/B21),E21/B21," - ")</f>
        <v>595.66666666666663</v>
      </c>
      <c r="G21" s="941">
        <f>SUBTOTAL(9,G9:G20)</f>
        <v>2013</v>
      </c>
      <c r="H21" s="942">
        <f>IF(ISNUMBER(G21/B21),G21/B21," - ")</f>
        <v>671</v>
      </c>
      <c r="I21" s="941">
        <f>SUBTOTAL(9,I9:I20)</f>
        <v>1773</v>
      </c>
      <c r="J21" s="942">
        <f>IF(ISNUMBER(I21/B21),I21/B21," - ")</f>
        <v>591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bted6UDpLsKRsSppqxt9DyXqA8SSYfE5lZ0/VXYnum2sEorpg/40SLXxTTON4/yOErC7GM/hJisjO5rzTTZMQ==" saltValue="eB6016ISxJwyjiajnD4mH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COIN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1621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91</v>
      </c>
      <c r="AM12" s="811">
        <f>IF(ISNUMBER(Datos!N12+DatosP!N17),Datos!N12+DatosP!N17," - ")</f>
        <v>263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4.7255172413793103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1.8856065367693273E-2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103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73</v>
      </c>
      <c r="AE14" s="1086">
        <f t="shared" si="1"/>
        <v>0</v>
      </c>
      <c r="AF14" s="1086">
        <f t="shared" si="1"/>
        <v>10</v>
      </c>
      <c r="AG14" s="1086">
        <f t="shared" si="1"/>
        <v>0</v>
      </c>
      <c r="AH14" s="1086">
        <f t="shared" si="1"/>
        <v>1621</v>
      </c>
      <c r="AI14" s="1086">
        <f t="shared" si="1"/>
        <v>0</v>
      </c>
      <c r="AJ14" s="1086">
        <f t="shared" si="1"/>
        <v>0</v>
      </c>
      <c r="AK14" s="1086">
        <f t="shared" si="1"/>
        <v>0</v>
      </c>
      <c r="AL14" s="1086">
        <f t="shared" si="1"/>
        <v>91</v>
      </c>
      <c r="AM14" s="1086">
        <f t="shared" si="1"/>
        <v>263</v>
      </c>
      <c r="AN14" s="1086">
        <f t="shared" si="1"/>
        <v>0</v>
      </c>
      <c r="AO14" s="1086">
        <f t="shared" si="1"/>
        <v>0</v>
      </c>
      <c r="AP14" s="1091">
        <f>IF(ISNUMBER(((Datos!L14/Datos!K14)*11)/factor_trimestre),((Datos!L14/Datos!K14)*11)/factor_trimestre," - ")</f>
        <v>4.9548104956268224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1.8856065367693273E-2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1.4464285714285716</v>
      </c>
      <c r="AQ20" s="1091">
        <f>IF(ISNUMBER(((Datos!M20/Datos!L20)*11)/factor_trimestre),((Datos!M20/Datos!L20)*11)/factor_trimestre," - ")</f>
        <v>0.37681159420289856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-9.6153846153846159E-2</v>
      </c>
      <c r="AW20" s="1093">
        <f>IF(ISNUMBER((Datos!Q20-Datos!R20)/(Datos!S20-Datos!Q20+Datos!R20)),(Datos!Q20-Datos!R20)/(Datos!S20-Datos!Q20+Datos!R20)," - ")</f>
        <v>-3.5326086956521736E-2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103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73</v>
      </c>
      <c r="AE21" s="1104">
        <f t="shared" si="5"/>
        <v>0</v>
      </c>
      <c r="AF21" s="1105">
        <f t="shared" si="5"/>
        <v>10</v>
      </c>
      <c r="AG21" s="1105">
        <f t="shared" si="5"/>
        <v>0</v>
      </c>
      <c r="AH21" s="1105">
        <f t="shared" si="5"/>
        <v>1621</v>
      </c>
      <c r="AI21" s="1105">
        <f t="shared" si="5"/>
        <v>0</v>
      </c>
      <c r="AJ21" s="1106">
        <f t="shared" si="5"/>
        <v>0</v>
      </c>
      <c r="AK21" s="1106">
        <f t="shared" si="5"/>
        <v>0</v>
      </c>
      <c r="AL21" s="1098">
        <f t="shared" si="5"/>
        <v>91</v>
      </c>
      <c r="AM21" s="1098">
        <f t="shared" si="5"/>
        <v>263</v>
      </c>
      <c r="AN21" s="1098">
        <f t="shared" si="5"/>
        <v>0</v>
      </c>
      <c r="AO21" s="1098">
        <f t="shared" si="5"/>
        <v>0</v>
      </c>
      <c r="AP21" s="1098">
        <f>IF(ISNUMBER(((Datos!L21/Datos!K21)*11)/factor_trimestre),((Datos!L21/Datos!K21)*11)/factor_trimestre," - ")</f>
        <v>2.6656534954407296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1.5216068167985392E-2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52.538874496255943</v>
      </c>
      <c r="AM23" s="870"/>
      <c r="AN23" s="870">
        <f>IF(ISNUMBER(STDEV(AN8:AN20)),STDEV(AN8:AN20),"-")</f>
        <v>0</v>
      </c>
      <c r="AO23" s="876">
        <f>IF(ISNUMBER(STDEV(AO8:AO20)),STDEV(AO8:AO20),"-")</f>
        <v>0</v>
      </c>
      <c r="AP23" s="923">
        <f>IF(ISNUMBER(STDEV(AP8:AP20)),STDEV(AP8:AP20),"-")</f>
        <v>1.9627252154374433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DW5rajDt4bmJFQb6hE8gGpepGtU+S80AZZYSqkEeq6B+EzViVC0SXUKEHrvNWroHAgFBkQFfW8S/D8d7IQwfg==" saltValue="REGjfiykabwewN8mAp3b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COIN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mg3xQn5BnlvMZaU4zydrtCOkSaE2bxwpJYa9dt9/p6MWvtYEu3wlX8xX789MxYz5lH5/eZzOEebIpNObnJIaA==" saltValue="VC80vDxOn73HxIaPzz8P5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COIN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91</v>
      </c>
      <c r="E12" s="416">
        <f t="shared" si="0"/>
        <v>30.333333333333332</v>
      </c>
      <c r="F12" s="415">
        <f>IF(ISNUMBER(Datos!N12),Datos!N12," - ")</f>
        <v>263</v>
      </c>
      <c r="G12" s="416">
        <f t="shared" si="1"/>
        <v>87.666666666666671</v>
      </c>
      <c r="H12" s="415">
        <f>IF(ISNUMBER(Datos!O12),Datos!O12," - ")</f>
        <v>201</v>
      </c>
      <c r="I12" s="416">
        <f t="shared" si="2"/>
        <v>67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91</v>
      </c>
      <c r="E14" s="997">
        <f t="shared" si="0"/>
        <v>22.75</v>
      </c>
      <c r="F14" s="996">
        <f>SUBTOTAL(9,F9:F13)</f>
        <v>263</v>
      </c>
      <c r="G14" s="997">
        <f t="shared" si="1"/>
        <v>65.75</v>
      </c>
      <c r="H14" s="996">
        <f>SUBTOTAL(9,H9:H13)</f>
        <v>201</v>
      </c>
      <c r="I14" s="997">
        <f>IF(ISNUMBER(H14/B14),H14/B14," - ")</f>
        <v>50.25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76</v>
      </c>
      <c r="E17" s="416">
        <f t="shared" si="3"/>
        <v>25.333333333333332</v>
      </c>
      <c r="F17" s="415">
        <f>IF(ISNUMBER(Datos!N17),Datos!N17," - ")</f>
        <v>1069</v>
      </c>
      <c r="G17" s="416">
        <f t="shared" si="4"/>
        <v>356.33333333333331</v>
      </c>
      <c r="H17" s="415">
        <f>IF(ISNUMBER(Datos!O17),Datos!O17," - ")</f>
        <v>19</v>
      </c>
      <c r="I17" s="416">
        <f t="shared" si="5"/>
        <v>6.333333333333333</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30</v>
      </c>
      <c r="G18" s="416">
        <f>IF(ISNUMBER(F18/B18),F18/B18," - ")</f>
        <v>30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78</v>
      </c>
      <c r="E20" s="997">
        <f t="shared" si="3"/>
        <v>19.5</v>
      </c>
      <c r="F20" s="996">
        <f>SUBTOTAL(9,F16:F19)</f>
        <v>1099</v>
      </c>
      <c r="G20" s="997">
        <f t="shared" si="4"/>
        <v>274.75</v>
      </c>
      <c r="H20" s="996">
        <f>SUBTOTAL(9,H16:H19)</f>
        <v>19</v>
      </c>
      <c r="I20" s="997">
        <f>IF(ISNUMBER(H20/B20),H20/B20," - ")</f>
        <v>4.75</v>
      </c>
    </row>
    <row r="21" spans="1:9" ht="14.25" thickTop="1" thickBot="1">
      <c r="A21" s="940" t="str">
        <f>Datos!A21</f>
        <v>TOTAL JURISDICCIONES</v>
      </c>
      <c r="B21" s="941">
        <f>Datos!AP21</f>
        <v>3</v>
      </c>
      <c r="C21" s="941">
        <f>Datos!AR21</f>
        <v>3</v>
      </c>
      <c r="D21" s="941">
        <f>SUBTOTAL(9,D8:D20)</f>
        <v>169</v>
      </c>
      <c r="E21" s="942">
        <f>IF(ISNUMBER(D21/B21),D21/B21," - ")</f>
        <v>56.333333333333336</v>
      </c>
      <c r="F21" s="941">
        <f>SUBTOTAL(9,F8:F20)</f>
        <v>1362</v>
      </c>
      <c r="G21" s="942">
        <f>IF(ISNUMBER(F21/B21),F21/B21," - ")</f>
        <v>454</v>
      </c>
      <c r="H21" s="941">
        <f>SUBTOTAL(9,H8:H20)</f>
        <v>220</v>
      </c>
      <c r="I21" s="942">
        <f>IF(ISNUMBER(H21/B21),H21/B21," - ")</f>
        <v>73.333333333333329</v>
      </c>
    </row>
    <row r="24" spans="1:9">
      <c r="A24" s="403" t="str">
        <f>Criterios!A4</f>
        <v>Fecha Informe: 06 jun. 2023</v>
      </c>
    </row>
    <row r="29" spans="1:9">
      <c r="A29" s="426"/>
    </row>
  </sheetData>
  <sheetProtection algorithmName="SHA-512" hashValue="iY9ifQLfg3XywAlmtafbejEw0XxKuK9iELeT+93I3KFBi94zXPSqKgSvGgcoFO6ThCehR71YVLGm7spoZ/bukQ==" saltValue="/qEsNJQqM1N3TwCZ/j2+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COIN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103</v>
      </c>
      <c r="C12" s="451">
        <f>IF(ISNUMBER(Datos!Q12),Datos!Q12," - ")</f>
        <v>73</v>
      </c>
      <c r="D12" s="420">
        <f>IF(ISNUMBER(Datos!R12),Datos!R12," - ")</f>
        <v>1621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103</v>
      </c>
      <c r="C14" s="1000">
        <f>SUBTOTAL(9,C9:C13)</f>
        <v>73</v>
      </c>
      <c r="D14" s="998">
        <f>SUBTOTAL(9,D9:D13)</f>
        <v>1621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16</v>
      </c>
      <c r="C17" s="451">
        <f>IF(ISNUMBER(Datos!Q17),Datos!Q17," - ")</f>
        <v>21</v>
      </c>
      <c r="D17" s="420">
        <f>IF(ISNUMBER(Datos!R17),Datos!R17," - ")</f>
        <v>47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v>
      </c>
      <c r="C20" s="1000">
        <f>SUBTOTAL(9,C16:C19)</f>
        <v>21</v>
      </c>
      <c r="D20" s="998">
        <f>SUBTOTAL(9,D16:D19)</f>
        <v>47</v>
      </c>
    </row>
    <row r="21" spans="1:4" ht="16.5" customHeight="1" thickTop="1" thickBot="1">
      <c r="A21" s="940" t="str">
        <f>Datos!A21</f>
        <v>TOTAL JURISDICCIONES</v>
      </c>
      <c r="B21" s="945">
        <f>SUBTOTAL(9,B8:B20)</f>
        <v>119</v>
      </c>
      <c r="C21" s="946">
        <f>SUBTOTAL(9,C8:C20)</f>
        <v>94</v>
      </c>
      <c r="D21" s="947">
        <f>SUBTOTAL(9,D8:D20)</f>
        <v>1668</v>
      </c>
    </row>
    <row r="22" spans="1:4" ht="7.5" customHeight="1"/>
    <row r="23" spans="1:4" ht="6" customHeight="1"/>
    <row r="24" spans="1:4">
      <c r="A24" s="403" t="str">
        <f>Criterios!A4</f>
        <v>Fecha Informe: 06 jun. 2023</v>
      </c>
    </row>
    <row r="29" spans="1:4">
      <c r="A29" s="426"/>
    </row>
  </sheetData>
  <sheetProtection algorithmName="SHA-512" hashValue="+U5EvxgauEtYTlEtdnBgWs/S2lSPQwSim7dvVmTrUjoxpvDGFgQVHTpuPl6rpySxPeNo5GlEcZzub6OtRP8CKQ==" saltValue="1R8BJngwH9Eu3z9RKtEs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COIN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-0.35714285714285715</v>
      </c>
      <c r="C10" s="473">
        <f>IF(ISNUMBER((Datos!J10-Datos!T10)/Datos!T10),(Datos!J10-Datos!T10)/Datos!T10," - ")</f>
        <v>-0.66666666666666663</v>
      </c>
      <c r="D10" s="473">
        <f>IF(ISNUMBER((Datos!K10-Datos!U10)/Datos!U10),(Datos!K10-Datos!U10)/Datos!U10," - ")</f>
        <v>-1</v>
      </c>
      <c r="E10" s="473">
        <f>IF(ISNUMBER((Datos!L10-Datos!V10)/Datos!V10),(Datos!L10-Datos!V10)/Datos!V10," - ")</f>
        <v>0.1111111111111111</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0.19301648884578079</v>
      </c>
      <c r="C12" s="473">
        <f>IF(ISNUMBER(
   IF(J_V="SI",(Datos!J12-Datos!T12)/Datos!T12,(Datos!J12+Datos!Z12-(Datos!T12+Datos!AH12))/(Datos!T12+Datos!AH12))
     ),IF(J_V="SI",(Datos!J12-Datos!T12)/Datos!T12,(Datos!J12+Datos!Z12-(Datos!T12+Datos!AH12))/(Datos!T12+Datos!AH12))," - ")</f>
        <v>0.35244161358811038</v>
      </c>
      <c r="D12" s="473">
        <f>IF(ISNUMBER(
   IF(J_V="SI",(Datos!K12-Datos!U12)/Datos!U12,(Datos!K12+Datos!AA12-(Datos!U12+Datos!AI12))/(Datos!U12+Datos!AI12))
     ),IF(J_V="SI",(Datos!K12-Datos!U12)/Datos!U12,(Datos!K12+Datos!AA12-(Datos!U12+Datos!AI12))/(Datos!U12+Datos!AI12))," - ")</f>
        <v>0.58643326039387311</v>
      </c>
      <c r="E12" s="473">
        <f>IF(ISNUMBER(
   IF(J_V="SI",(Datos!L12-Datos!V12)/Datos!V12,(Datos!L12+Datos!AB12-(Datos!V12+Datos!AJ12))/(Datos!V12+Datos!AJ12))
     ),IF(J_V="SI",(Datos!L12-Datos!V12)/Datos!V12,(Datos!L12+Datos!AB12-(Datos!V12+Datos!AJ12))/(Datos!V12+Datos!AJ12))," - ")</f>
        <v>0.11741682974559686</v>
      </c>
      <c r="F12" s="473">
        <f>IF(ISNUMBER((Datos!M12-Datos!W12)/Datos!W12),(Datos!M12-Datos!W12)/Datos!W12," - ")</f>
        <v>0</v>
      </c>
      <c r="G12" s="474">
        <f>IF(ISNUMBER((Datos!N12-Datos!X12)/Datos!X12),(Datos!N12-Datos!X12)/Datos!X12," - ")</f>
        <v>0.62345679012345678</v>
      </c>
      <c r="H12" s="472">
        <f>IF(ISNUMBER(((NºAsuntos!G12/NºAsuntos!E12)-Datos!BD12)/Datos!BD12),((NºAsuntos!G12/NºAsuntos!E12)-Datos!BD12)/Datos!BD12," - ")</f>
        <v>0.17301423178259689</v>
      </c>
      <c r="I12" s="473">
        <f>IF(ISNUMBER(((NºAsuntos!I12/NºAsuntos!G12)-Datos!BE12)/Datos!BE12),((NºAsuntos!I12/NºAsuntos!G12)-Datos!BE12)/Datos!BE12," - ")</f>
        <v>-0.2956420811120859</v>
      </c>
      <c r="J12" s="478">
        <f>IF(ISNUMBER((('Resol  Asuntos'!D12/NºAsuntos!G12)-Datos!BF12)/Datos!BF12),(('Resol  Asuntos'!D12/NºAsuntos!G12)-Datos!BF12)/Datos!BF12," - ")</f>
        <v>-0.64591741166453809</v>
      </c>
      <c r="K12" s="479">
        <f>IF(ISNUMBER((((NºAsuntos!C12+NºAsuntos!E12)/NºAsuntos!G12)-Datos!BG12)/Datos!BG12),(((NºAsuntos!C12+NºAsuntos!E12)/NºAsuntos!G12)-Datos!BG12)/Datos!BG12," - ")</f>
        <v>-0.21647550392580006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0.18564593301435406</v>
      </c>
      <c r="C14" s="1002">
        <f>IF(ISNUMBER(
   IF(J_V="SI",(Datos!J14-Datos!T14)/Datos!T14,(Datos!J14+Datos!Z14-(Datos!T14+Datos!AH14))/(Datos!T14+Datos!AH14))
     ),IF(J_V="SI",(Datos!J14-Datos!T14)/Datos!T14,(Datos!J14+Datos!Z14-(Datos!T14+Datos!AH14))/(Datos!T14+Datos!AH14))," - ")</f>
        <v>0.34599156118143459</v>
      </c>
      <c r="D14" s="1002">
        <f>IF(ISNUMBER(
   IF(J_V="SI",(Datos!K14-Datos!U14)/Datos!U14,(Datos!K14+Datos!AA14-(Datos!U14+Datos!AI14))/(Datos!U14+Datos!AI14))
     ),IF(J_V="SI",(Datos!K14-Datos!U14)/Datos!U14,(Datos!K14+Datos!AA14-(Datos!U14+Datos!AI14))/(Datos!U14+Datos!AI14))," - ")</f>
        <v>0.55913978494623651</v>
      </c>
      <c r="E14" s="1002">
        <f>IF(ISNUMBER(
   IF(J_V="SI",(Datos!L14-Datos!V14)/Datos!V14,(Datos!L14+Datos!AB14-(Datos!V14+Datos!AJ14))/(Datos!V14+Datos!AJ14))
     ),IF(J_V="SI",(Datos!L14-Datos!V14)/Datos!V14,(Datos!L14+Datos!AB14-(Datos!V14+Datos!AJ14))/(Datos!V14+Datos!AJ14))," - ")</f>
        <v>0.11736178467507274</v>
      </c>
      <c r="F14" s="1003">
        <f>IF(ISNUMBER((Datos!M14-Datos!W14)/Datos!W14),(Datos!M14-Datos!W14)/Datos!W14," - ")</f>
        <v>-6.1855670103092786E-2</v>
      </c>
      <c r="G14" s="1004">
        <f>IF(ISNUMBER((Datos!N14-Datos!X14)/Datos!X14),(Datos!N14-Datos!X14)/Datos!X14," - ")</f>
        <v>0.60365853658536583</v>
      </c>
      <c r="H14" s="1004">
        <f>IF(ISNUMBER(((NºAsuntos!G14/NºAsuntos!E14)-Datos!BD14)/Datos!BD14),((NºAsuntos!G14/NºAsuntos!E14)-Datos!BD14)/Datos!BD14," - ")</f>
        <v>0.15835777126099715</v>
      </c>
      <c r="I14" s="1004">
        <f>IF(ISNUMBER(((NºAsuntos!I14/NºAsuntos!G14)-Datos!BE14)/Datos!BE14),((NºAsuntos!I14/NºAsuntos!G14)-Datos!BE14)/Datos!BE14," - ")</f>
        <v>-0.28334726913943614</v>
      </c>
      <c r="J14" s="1004">
        <f>IF(ISNUMBER((('Resol  Asuntos'!D14/NºAsuntos!G14)-Datos!BF14)/Datos!BF14),(('Resol  Asuntos'!D14/NºAsuntos!G14)-Datos!BF14)/Datos!BF14," - ")</f>
        <v>-0.65258620689655178</v>
      </c>
      <c r="K14" s="1004">
        <f>IF(ISNUMBER((((NºAsuntos!C14+NºAsuntos!E14)/NºAsuntos!G14)-Datos!BG14)/Datos!BG14),(((NºAsuntos!C14+NºAsuntos!E14)/NºAsuntos!G14)-Datos!BG14)/Datos!BG14," - ")</f>
        <v>-0.20745953553835322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7.8313253012048195E-2</v>
      </c>
      <c r="C17" s="473">
        <f>IF(ISNUMBER(
   IF(D_I="SI",(Datos!J17-Datos!T17)/Datos!T17,(Datos!J17+Datos!AD17-(Datos!T17+Datos!AL17))/(Datos!T17+Datos!AL17))
     ),IF(D_I="SI",(Datos!J17-Datos!T17)/Datos!T17,(Datos!J17+Datos!AD17-(Datos!T17+Datos!AL17))/(Datos!T17+Datos!AL17))," - ")</f>
        <v>7.3746312684365781E-2</v>
      </c>
      <c r="D17" s="473">
        <f>IF(ISNUMBER(
   IF(D_I="SI",(Datos!K17-Datos!U17)/Datos!U17,(Datos!K17+Datos!AE17-(Datos!U17+Datos!AM17))/(Datos!U17+Datos!AM17))
     ),IF(D_I="SI",(Datos!K17-Datos!U17)/Datos!U17,(Datos!K17+Datos!AE17-(Datos!U17+Datos!AM17))/(Datos!U17+Datos!AM17))," - ")</f>
        <v>0.20788177339901479</v>
      </c>
      <c r="E17" s="473">
        <f>IF(ISNUMBER(
   IF(D_I="SI",(Datos!L17-Datos!V17)/Datos!V17,(Datos!L17+Datos!AF17-(Datos!V17+Datos!AN17))/(Datos!V17+Datos!AN17))
     ),IF(D_I="SI",(Datos!L17-Datos!V17)/Datos!V17,(Datos!L17+Datos!AF17-(Datos!V17+Datos!AN17))/(Datos!V17+Datos!AN17))," - ")</f>
        <v>-0.12612612612612611</v>
      </c>
      <c r="F17" s="473">
        <f>IF(ISNUMBER((Datos!M17-Datos!W17)/Datos!W17),(Datos!M17-Datos!W17)/Datos!W17," - ")</f>
        <v>0.15151515151515152</v>
      </c>
      <c r="G17" s="474">
        <f>IF(ISNUMBER((Datos!N17-Datos!X17)/Datos!X17),(Datos!N17-Datos!X17)/Datos!X17," - ")</f>
        <v>0.32465923172242878</v>
      </c>
      <c r="H17" s="472">
        <f>IF(ISNUMBER(((NºAsuntos!G17/NºAsuntos!E17)-Datos!BD17)/Datos!BD17),((NºAsuntos!G17/NºAsuntos!E17)-Datos!BD17)/Datos!BD17," - ")</f>
        <v>0.12492286039084065</v>
      </c>
      <c r="I17" s="473">
        <f>IF(ISNUMBER(((NºAsuntos!I17/NºAsuntos!G17)-Datos!BE17)/Datos!BE17),((NºAsuntos!I17/NºAsuntos!G17)-Datos!BE17)/Datos!BE17," - ")</f>
        <v>-0.27652366885645846</v>
      </c>
      <c r="J17" s="478">
        <f>IF(ISNUMBER((('Resol  Asuntos'!D17/NºAsuntos!G17)-Datos!BF17)/Datos!BF17),(('Resol  Asuntos'!D17/NºAsuntos!G17)-Datos!BF17)/Datos!BF17," - ")</f>
        <v>-4.6665677987048286E-2</v>
      </c>
      <c r="K17" s="479">
        <f>IF(ISNUMBER((((NºAsuntos!C17+NºAsuntos!E17)/NºAsuntos!G17)-Datos!BG17)/Datos!BG17),(((NºAsuntos!C17+NºAsuntos!E17)/NºAsuntos!G17)-Datos!BG17)/Datos!BG17," - ")</f>
        <v>-0.10955667070696093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-4.3478260869565216E-2</v>
      </c>
      <c r="C18" s="473">
        <f>IF(ISNUMBER(
   IF(D_I="SI",(Datos!J18-Datos!T18)/Datos!T18,(Datos!J18+Datos!AD18-(Datos!T18+Datos!AL18))/(Datos!T18+Datos!AL18))
     ),IF(D_I="SI",(Datos!J18-Datos!T18)/Datos!T18,(Datos!J18+Datos!AD18-(Datos!T18+Datos!AL18))/(Datos!T18+Datos!AL18))," - ")</f>
        <v>0.32558139534883723</v>
      </c>
      <c r="D18" s="473">
        <f>IF(ISNUMBER(
   IF(D_I="SI",(Datos!K18-Datos!U18)/Datos!U18,(Datos!K18+Datos!AE18-(Datos!U18+Datos!AM18))/(Datos!U18+Datos!AM18))
     ),IF(D_I="SI",(Datos!K18-Datos!U18)/Datos!U18,(Datos!K18+Datos!AE18-(Datos!U18+Datos!AM18))/(Datos!U18+Datos!AM18))," - ")</f>
        <v>0.14814814814814814</v>
      </c>
      <c r="E18" s="473">
        <f>IF(ISNUMBER(
   IF(D_I="SI",(Datos!L18-Datos!V18)/Datos!V18,(Datos!L18+Datos!AF18-(Datos!V18+Datos!AN18))/(Datos!V18+Datos!AN18))
     ),IF(D_I="SI",(Datos!L18-Datos!V18)/Datos!V18,(Datos!L18+Datos!AF18-(Datos!V18+Datos!AN18))/(Datos!V18+Datos!AN18))," - ")</f>
        <v>0.11428571428571428</v>
      </c>
      <c r="F18" s="473">
        <f>IF(ISNUMBER((Datos!M18-Datos!W18)/Datos!W18),(Datos!M18-Datos!W18)/Datos!W18," - ")</f>
        <v>-0.77777777777777779</v>
      </c>
      <c r="G18" s="474">
        <f>IF(ISNUMBER((Datos!N18-Datos!X18)/Datos!X18),(Datos!N18-Datos!X18)/Datos!X18," - ")</f>
        <v>-0.11764705882352941</v>
      </c>
      <c r="H18" s="472">
        <f>IF(ISNUMBER(((NºAsuntos!G18/NºAsuntos!E18)-Datos!BD18)/Datos!BD18),((NºAsuntos!G18/NºAsuntos!E18)-Datos!BD18)/Datos!BD18," - ")</f>
        <v>-0.13385315139701101</v>
      </c>
      <c r="I18" s="473">
        <f>IF(ISNUMBER(((NºAsuntos!I18/NºAsuntos!G18)-Datos!BE18)/Datos!BE18),((NºAsuntos!I18/NºAsuntos!G18)-Datos!BE18)/Datos!BE18," - ")</f>
        <v>-2.949308755760368E-2</v>
      </c>
      <c r="J18" s="478">
        <f>IF(ISNUMBER((('Resol  Asuntos'!D18/NºAsuntos!G18)-Datos!BF18)/Datos!BF18),(('Resol  Asuntos'!D18/NºAsuntos!G18)-Datos!BF18)/Datos!BF18," - ")</f>
        <v>-0.80645161290322576</v>
      </c>
      <c r="K18" s="479">
        <f>IF(ISNUMBER((((NºAsuntos!C18+NºAsuntos!E18)/NºAsuntos!G18)-Datos!BG18)/Datos!BG18),(((NºAsuntos!C18+NºAsuntos!E18)/NºAsuntos!G18)-Datos!BG18)/Datos!BG18," - ")</f>
        <v>-1.1598405219282279E-2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7.0422535211267609E-2</v>
      </c>
      <c r="C20" s="1002">
        <f>IF(ISNUMBER(
   IF(Criterios!B14="SI",(Datos!J20-Datos!T20)/Datos!T20,(Datos!J20+Datos!AD20-(Datos!T20+Datos!AL20))/(Datos!T20+Datos!AL20))
     ),IF(Criterios!B14="SI",(Datos!J20-Datos!T20)/Datos!T20,(Datos!J20+Datos!AD20-(Datos!T20+Datos!AL20))/(Datos!T20+Datos!AL20))," - ")</f>
        <v>8.3962264150943391E-2</v>
      </c>
      <c r="D20" s="1002">
        <f>IF(ISNUMBER(
   IF(Criterios!B14="SI",(Datos!K20-Datos!U20)/Datos!U20,(Datos!K20+Datos!AE20-(Datos!U20+Datos!AM20))/(Datos!U20+Datos!AM20))
     ),IF(Criterios!B14="SI",(Datos!K20-Datos!U20)/Datos!U20,(Datos!K20+Datos!AE20-(Datos!U20+Datos!AM20))/(Datos!U20+Datos!AM20))," - ")</f>
        <v>0.20486435921421889</v>
      </c>
      <c r="E20" s="1002">
        <f>IF(ISNUMBER(
   IF(Criterios!B14="SI",(Datos!L20-Datos!V20)/Datos!V20,(Datos!L20+Datos!AF20-(Datos!V20+Datos!AN20))/(Datos!V20+Datos!AN20))
     ),IF(Criterios!B14="SI",(Datos!L20-Datos!V20)/Datos!V20,(Datos!L20+Datos!AF20-(Datos!V20+Datos!AN20))/(Datos!V20+Datos!AN20))," - ")</f>
        <v>-0.11412268188302425</v>
      </c>
      <c r="F20" s="1003">
        <f>IF(ISNUMBER((Datos!M20-Datos!W20)/Datos!W20),(Datos!M20-Datos!W20)/Datos!W20," - ")</f>
        <v>0.04</v>
      </c>
      <c r="G20" s="1004">
        <f>IF(ISNUMBER((Datos!N20-Datos!X20)/Datos!X20),(Datos!N20-Datos!X20)/Datos!X20," - ")</f>
        <v>0.30677764565992865</v>
      </c>
      <c r="H20" s="1004">
        <f>IF(ISNUMBER(((NºAsuntos!G20/NºAsuntos!E20)-Datos!BD20)/Datos!BD20),((NºAsuntos!G20/NºAsuntos!E20)-Datos!BD20)/Datos!BD20," - ")</f>
        <v>0.11153718082425748</v>
      </c>
      <c r="I20" s="1004">
        <f>IF(ISNUMBER(((NºAsuntos!I20/NºAsuntos!G20)-Datos!BE20)/Datos!BE20),((NºAsuntos!I20/NºAsuntos!G20)-Datos!BE20)/Datos!BE20," - ")</f>
        <v>-0.26474933768086406</v>
      </c>
      <c r="J20" s="1004">
        <f>IF(ISNUMBER((('Resol  Asuntos'!D20/NºAsuntos!G20)-Datos!BF20)/Datos!BF20),(('Resol  Asuntos'!D20/NºAsuntos!G20)-Datos!BF20)/Datos!BF20," - ")</f>
        <v>-0.13683229813664585</v>
      </c>
      <c r="K20" s="1004">
        <f>IF(ISNUMBER((((NºAsuntos!C20+NºAsuntos!E20)/NºAsuntos!G20)-Datos!BG20)/Datos!BG20),(((NºAsuntos!C20+NºAsuntos!E20)/NºAsuntos!G20)-Datos!BG20)/Datos!BG20," - ")</f>
        <v>-0.10485270379338171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0.13903133903133902</v>
      </c>
      <c r="C21" s="949">
        <f>IF(ISNUMBER(
   IF(J_V="SI",(Datos!J21-Datos!T21)/Datos!T21,(Datos!J21+Datos!Z21-(Datos!T21+Datos!AH21))/(Datos!T21+Datos!AH21))
     ),IF(J_V="SI",(Datos!J21-Datos!T21)/Datos!T21,(Datos!J21+Datos!Z21-(Datos!T21+Datos!AH21))/(Datos!T21+Datos!AH21))," - ")</f>
        <v>0.16492829204693613</v>
      </c>
      <c r="D21" s="949">
        <f>IF(ISNUMBER(
   IF(J_V="SI",(Datos!K21-Datos!U21)/Datos!U21,(Datos!K21+Datos!AA21-(Datos!U21+Datos!AI21))/(Datos!U21+Datos!AI21))
     ),IF(J_V="SI",(Datos!K21-Datos!U21)/Datos!U21,(Datos!K21+Datos!AA21-(Datos!U21+Datos!AI21))/(Datos!U21+Datos!AI21))," - ")</f>
        <v>0.31225554106910042</v>
      </c>
      <c r="E21" s="949">
        <f>IF(ISNUMBER(
   IF(J_V="SI",(Datos!L21-Datos!V21)/Datos!V21,(Datos!L21+Datos!AB21-(Datos!V21+Datos!AJ21))/(Datos!V21+Datos!AJ21))
     ),IF(J_V="SI",(Datos!L21-Datos!V21)/Datos!V21,(Datos!L21+Datos!AB21-(Datos!V21+Datos!AJ21))/(Datos!V21+Datos!AJ21))," - ")</f>
        <v>2.3672055427251731E-2</v>
      </c>
      <c r="F21" s="950">
        <f>IF(ISNUMBER((Datos!M21-Datos!W21)/Datos!W21),(Datos!M21-Datos!W21)/Datos!W21," - ")</f>
        <v>-1.7441860465116279E-2</v>
      </c>
      <c r="G21" s="951">
        <f>IF(ISNUMBER((Datos!N21-Datos!X21)/Datos!X21),(Datos!N21-Datos!X21)/Datos!X21," - ")</f>
        <v>0.35522388059701493</v>
      </c>
      <c r="H21" s="952">
        <f>IF(ISNUMBER((Tasas!B21-Datos!BD21)/Datos!BD21),(Tasas!B21-Datos!BD21)/Datos!BD21," - ")</f>
        <v>0.12646894236149975</v>
      </c>
      <c r="I21" s="953">
        <f>IF(ISNUMBER((Tasas!C21-Datos!BE21)/Datos!BE21),(Tasas!C21-Datos!BE21)/Datos!BE21," - ")</f>
        <v>-0.21991409189001279</v>
      </c>
      <c r="J21" s="954">
        <f>IF(ISNUMBER((Tasas!D21-Datos!BF21)/Datos!BF21),(Tasas!D21-Datos!BF21)/Datos!BF21," - ")</f>
        <v>-0.47001690656821193</v>
      </c>
      <c r="K21" s="954">
        <f>IF(ISNUMBER((Tasas!E21-Datos!BG21)/Datos!BG21),(Tasas!E21-Datos!BG21)/Datos!BG21," - ")</f>
        <v>-0.12280061026254248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bW9Pm7kwLj+Lwf22tjLtIJdXrw7iyAV9OizSm3l/2WcN6X7UryZBAyKGAi4i9UC1CL3lkLz5ivb5lvC/jccqg==" saltValue="yYOdn/34PNLSlYbuxzexh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COIN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1.1381475667189953</v>
      </c>
      <c r="C12" s="460">
        <f>IF(ISNUMBER(NºAsuntos!I12/NºAsuntos!G12),NºAsuntos!I12/NºAsuntos!G12," - ")</f>
        <v>1.5751724137931034</v>
      </c>
      <c r="D12" s="461">
        <f>IF(ISNUMBER('Resol  Asuntos'!D12/NºAsuntos!G12),'Resol  Asuntos'!D12/NºAsuntos!G12," - ")</f>
        <v>0.12551724137931033</v>
      </c>
      <c r="E12" s="462">
        <f>IF(ISNUMBER((NºAsuntos!C12+NºAsuntos!E12)/NºAsuntos!G12),(NºAsuntos!C12+NºAsuntos!E12)/NºAsuntos!G12," - ")</f>
        <v>2.5751724137931036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1.1363636363636365</v>
      </c>
      <c r="C14" s="1006">
        <f>IF(ISNUMBER(NºAsuntos!I14/NºAsuntos!G14),NºAsuntos!I14/NºAsuntos!G14," - ")</f>
        <v>1.5889655172413792</v>
      </c>
      <c r="D14" s="1007">
        <f>IF(ISNUMBER('Resol  Asuntos'!D14/NºAsuntos!G14),'Resol  Asuntos'!D14/NºAsuntos!G14," - ")</f>
        <v>0.12551724137931033</v>
      </c>
      <c r="E14" s="1008">
        <f>IF(ISNUMBER((NºAsuntos!C14+NºAsuntos!E14)/NºAsuntos!G14),(NºAsuntos!C14+NºAsuntos!E14)/NºAsuntos!G14," - ")</f>
        <v>2.5889655172413795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1.1227106227106227</v>
      </c>
      <c r="C17" s="460">
        <f>IF(ISNUMBER(NºAsuntos!I17/NºAsuntos!G17),NºAsuntos!I17/NºAsuntos!G17," - ")</f>
        <v>0.47471451876019577</v>
      </c>
      <c r="D17" s="461">
        <f>IF(ISNUMBER('Resol  Asuntos'!D17/NºAsuntos!G17),'Resol  Asuntos'!D17/NºAsuntos!G17," - ")</f>
        <v>6.1990212071778142E-2</v>
      </c>
      <c r="E17" s="462">
        <f>IF(ISNUMBER((NºAsuntos!C17+NºAsuntos!E17)/NºAsuntos!G17),(NºAsuntos!C17+NºAsuntos!E17)/NºAsuntos!G17," - ")</f>
        <v>1.4747145187601958</v>
      </c>
      <c r="G17" s="480"/>
    </row>
    <row r="18" spans="1:7">
      <c r="A18" s="414" t="str">
        <f>Datos!A18</f>
        <v>Jdos. Violencia contra la mujer</v>
      </c>
      <c r="B18" s="459">
        <f>IF(ISNUMBER(NºAsuntos!G18/NºAsuntos!E18),NºAsuntos!G18/NºAsuntos!E18," - ")</f>
        <v>1.0877192982456141</v>
      </c>
      <c r="C18" s="460">
        <f>IF(ISNUMBER(NºAsuntos!I18/NºAsuntos!G18),NºAsuntos!I18/NºAsuntos!G18," - ")</f>
        <v>0.62903225806451613</v>
      </c>
      <c r="D18" s="461">
        <f>IF(ISNUMBER('Resol  Asuntos'!D18/NºAsuntos!G18),'Resol  Asuntos'!D18/NºAsuntos!G18," - ")</f>
        <v>3.2258064516129031E-2</v>
      </c>
      <c r="E18" s="462">
        <f>IF(ISNUMBER((NºAsuntos!C18+NºAsuntos!E18)/NºAsuntos!G18),(NºAsuntos!C18+NºAsuntos!E18)/NºAsuntos!G18," - ")</f>
        <v>1.6290322580645162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1.1209747606614446</v>
      </c>
      <c r="C20" s="1006">
        <f>IF(ISNUMBER(NºAsuntos!I20/NºAsuntos!G20),NºAsuntos!I20/NºAsuntos!G20," - ")</f>
        <v>0.48214285714285715</v>
      </c>
      <c r="D20" s="1009">
        <f>IF(ISNUMBER('Resol  Asuntos'!D20/NºAsuntos!G20),'Resol  Asuntos'!D20/NºAsuntos!G20," - ")</f>
        <v>6.0559006211180127E-2</v>
      </c>
      <c r="E20" s="1008">
        <f>IF(ISNUMBER((NºAsuntos!C20+NºAsuntos!E20)/NºAsuntos!G20),(NºAsuntos!C20+NºAsuntos!E20)/NºAsuntos!G20," - ")</f>
        <v>1.4821428571428572</v>
      </c>
      <c r="G20" s="480"/>
    </row>
    <row r="21" spans="1:7" ht="15.75" customHeight="1" thickTop="1" thickBot="1">
      <c r="A21" s="940" t="str">
        <f>Datos!A21</f>
        <v>TOTAL JURISDICCIONES</v>
      </c>
      <c r="B21" s="955">
        <f>IF(ISNUMBER(NºAsuntos!G21/NºAsuntos!E21),NºAsuntos!G21/NºAsuntos!E21," - ")</f>
        <v>1.1264689423614997</v>
      </c>
      <c r="C21" s="956">
        <f>IF(ISNUMBER(NºAsuntos!I21/NºAsuntos!G21),NºAsuntos!I21/NºAsuntos!G21," - ")</f>
        <v>0.88077496274217582</v>
      </c>
      <c r="D21" s="957">
        <f>IF(ISNUMBER('Resol  Asuntos'!D21/NºAsuntos!G21),'Resol  Asuntos'!D21/NºAsuntos!G21," - ")</f>
        <v>8.3954297069051165E-2</v>
      </c>
      <c r="E21" s="958">
        <f>IF(ISNUMBER((NºAsuntos!C21+NºAsuntos!E21)/NºAsuntos!G21),(NºAsuntos!C21+NºAsuntos!E21)/NºAsuntos!G21," - ")</f>
        <v>1.8807749627421759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S3AGzPC2qBxtktu2JbQfJjciPsuoJ+vM4QQDPC1TUdgA9zZ9qPWBrcipjcWaiWF5jPmQdeL945TO85XH1Ic7g==" saltValue="ZbbF2e8VvyFMNe5pnGc1e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COIN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10</v>
      </c>
      <c r="AB10" s="344">
        <f>IF(ISNUMBER(Datos!R10),Datos!R10," - ")</f>
        <v>0</v>
      </c>
      <c r="AC10" s="344">
        <f t="shared" ref="AC10:AC13" si="1">IF(ISNUMBER(AA10+AB10),AA10+AB10," - ")</f>
        <v>10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73</v>
      </c>
      <c r="Y12" s="344">
        <f t="shared" si="0"/>
        <v>73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1621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91</v>
      </c>
      <c r="AJ12" s="234" t="str">
        <f>IF(ISNUMBER(Datos!BW12),Datos!BW12," - ")</f>
        <v xml:space="preserve"> - </v>
      </c>
      <c r="AK12" s="233" t="str">
        <f>IF(ISNUMBER(Datos!BX12),Datos!BX12," - ")</f>
        <v xml:space="preserve"> - </v>
      </c>
      <c r="AL12" s="248">
        <f>IF(ISNUMBER(NºAsuntos!G12/NºAsuntos!E12),NºAsuntos!G12/NºAsuntos!E12," - ")</f>
        <v>1.1381475667189953</v>
      </c>
      <c r="AM12" s="265">
        <f>IF(ISNUMBER(((NºAsuntos!I12/NºAsuntos!G12)*11)/factor_trimestre),((NºAsuntos!I12/NºAsuntos!G12)*11)/factor_trimestre," - ")</f>
        <v>4.7255172413793103</v>
      </c>
      <c r="AN12" s="249">
        <f>IF(ISNUMBER('Resol  Asuntos'!D12/NºAsuntos!G12),'Resol  Asuntos'!D12/NºAsuntos!G12," - ")</f>
        <v>0.12551724137931033</v>
      </c>
      <c r="AO12" s="250">
        <f>IF(ISNUMBER((NºAsuntos!C12+NºAsuntos!E12)/NºAsuntos!G12),(NºAsuntos!C12+NºAsuntos!E12)/NºAsuntos!G12," - ")</f>
        <v>2.5751724137931036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9</v>
      </c>
      <c r="G14" s="1013">
        <f t="shared" si="5"/>
        <v>9</v>
      </c>
      <c r="H14" s="1012">
        <f t="shared" si="5"/>
        <v>0</v>
      </c>
      <c r="I14" s="1014">
        <f t="shared" si="5"/>
        <v>0</v>
      </c>
      <c r="J14" s="1014">
        <f t="shared" si="5"/>
        <v>0</v>
      </c>
      <c r="K14" s="1014">
        <f t="shared" si="5"/>
        <v>0</v>
      </c>
      <c r="L14" s="1014">
        <f t="shared" si="5"/>
        <v>103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73</v>
      </c>
      <c r="Y14" s="1015">
        <f t="shared" si="6"/>
        <v>73</v>
      </c>
      <c r="Z14" s="1015">
        <f t="shared" si="6"/>
        <v>0</v>
      </c>
      <c r="AA14" s="1015">
        <f t="shared" si="6"/>
        <v>10</v>
      </c>
      <c r="AB14" s="1015">
        <f t="shared" si="6"/>
        <v>1621</v>
      </c>
      <c r="AC14" s="1015">
        <f t="shared" si="6"/>
        <v>10</v>
      </c>
      <c r="AD14" s="1015">
        <f t="shared" si="6"/>
        <v>0</v>
      </c>
      <c r="AE14" s="1019">
        <f t="shared" si="6"/>
        <v>0</v>
      </c>
      <c r="AF14" s="1012">
        <f t="shared" si="6"/>
        <v>0</v>
      </c>
      <c r="AG14" s="1020">
        <f t="shared" si="6"/>
        <v>0</v>
      </c>
      <c r="AH14" s="1017">
        <f t="shared" si="6"/>
        <v>0</v>
      </c>
      <c r="AI14" s="1012">
        <f t="shared" si="6"/>
        <v>91</v>
      </c>
      <c r="AJ14" s="1014">
        <f t="shared" si="6"/>
        <v>0</v>
      </c>
      <c r="AK14" s="1017">
        <f>SUBTOTAL(9,AK9:AK13)</f>
        <v>0</v>
      </c>
      <c r="AL14" s="1021">
        <f>IF(ISNUMBER(NºAsuntos!G14/NºAsuntos!E14),NºAsuntos!G14/NºAsuntos!E14," - ")</f>
        <v>1.1363636363636365</v>
      </c>
      <c r="AM14" s="1021">
        <f>IF(ISNUMBER(((NºAsuntos!I14/NºAsuntos!G14)*11)/factor_trimestre),((NºAsuntos!I14/NºAsuntos!G14)*11)/factor_trimestre," - ")</f>
        <v>4.7668965517241384</v>
      </c>
      <c r="AN14" s="1022">
        <f>IF(ISNUMBER('Resol  Asuntos'!D14/NºAsuntos!G14),'Resol  Asuntos'!D14/NºAsuntos!G14," - ")</f>
        <v>0.12551724137931033</v>
      </c>
      <c r="AO14" s="1023">
        <f>IF(ISNUMBER((NºAsuntos!C14+NºAsuntos!E14)/NºAsuntos!G14),(NºAsuntos!C14+NºAsuntos!E14)/NºAsuntos!G14," - ")</f>
        <v>2.5889655172413795</v>
      </c>
      <c r="AP14" s="1024" t="str">
        <f t="shared" si="2"/>
        <v xml:space="preserve"> - </v>
      </c>
      <c r="AQ14" s="1024">
        <f>IF(ISNUMBER((H14-W14+K14)/(F14)),(H14-W14+K14)/(F14)," - ")</f>
        <v>0</v>
      </c>
      <c r="AR14" s="1025">
        <f>IF(ISNUMBER((Datos!P14-Datos!Q14)/(Datos!R14-Datos!P14+Datos!Q14)),(Datos!P14-Datos!Q14)/(Datos!R14-Datos!P14+Datos!Q14)," - ")</f>
        <v>1.8856065367693273E-2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716</v>
      </c>
      <c r="G17" s="343">
        <f>IF(ISNUMBER(IF(D_I="SI",Datos!I17,Datos!I17+Datos!AC17)),IF(D_I="SI",Datos!I17,Datos!I17+Datos!AC17)," - ")</f>
        <v>716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1226</v>
      </c>
      <c r="X17" s="231">
        <f>IF(ISNUMBER(Datos!Q17),Datos!Q17," - ")</f>
        <v>21</v>
      </c>
      <c r="Y17" s="344">
        <f t="shared" ref="Y17:Y19" si="9">SUM(W17:X17)</f>
        <v>1247</v>
      </c>
      <c r="Z17" s="345" t="str">
        <f>IF(ISNUMBER(Datos!CC17),Datos!CC17," - ")</f>
        <v xml:space="preserve"> - </v>
      </c>
      <c r="AA17" s="342">
        <f>IF(ISNUMBER(IF(D_I="SI",Datos!L17,Datos!L17+Datos!AF17)),IF(D_I="SI",Datos!L17,Datos!L17+Datos!AF17)," - ")</f>
        <v>582</v>
      </c>
      <c r="AB17" s="344">
        <f>IF(ISNUMBER(Datos!R17),Datos!R17," - ")</f>
        <v>47</v>
      </c>
      <c r="AC17" s="344">
        <f t="shared" si="8"/>
        <v>629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76</v>
      </c>
      <c r="AJ17" s="236" t="str">
        <f>IF(ISNUMBER(Datos!BW17),Datos!BW17," - ")</f>
        <v xml:space="preserve"> - </v>
      </c>
      <c r="AK17" s="237" t="str">
        <f>IF(ISNUMBER(Datos!BX17),Datos!BX17," - ")</f>
        <v xml:space="preserve"> - </v>
      </c>
      <c r="AL17" s="248">
        <f>IF(ISNUMBER(NºAsuntos!G17/NºAsuntos!E17),NºAsuntos!G17/NºAsuntos!E17," - ")</f>
        <v>1.1227106227106227</v>
      </c>
      <c r="AM17" s="265">
        <f>IF(ISNUMBER(((NºAsuntos!I17/NºAsuntos!G17)*11)/factor_trimestre),((NºAsuntos!I17/NºAsuntos!G17)*11)/factor_trimestre," - ")</f>
        <v>1.4241435562805873</v>
      </c>
      <c r="AN17" s="249">
        <f>IF(ISNUMBER('Resol  Asuntos'!D17/NºAsuntos!G17),'Resol  Asuntos'!D17/NºAsuntos!G17," - ")</f>
        <v>6.1990212071778142E-2</v>
      </c>
      <c r="AO17" s="250">
        <f>IF(ISNUMBER((NºAsuntos!C17+NºAsuntos!E17)/NºAsuntos!G17),(NºAsuntos!C17+NºAsuntos!E17)/NºAsuntos!G17," - ")</f>
        <v>1.4747145187601958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62</v>
      </c>
      <c r="X18" s="231">
        <f>IF(ISNUMBER(Datos!Q18),Datos!Q18," - ")</f>
        <v>0</v>
      </c>
      <c r="Y18" s="344">
        <f t="shared" si="9"/>
        <v>62</v>
      </c>
      <c r="Z18" s="345" t="str">
        <f>IF(ISNUMBER(Datos!CC18),Datos!CC18," - ")</f>
        <v xml:space="preserve"> - </v>
      </c>
      <c r="AA18" s="342">
        <f>IF(ISNUMBER(Datos!L18),Datos!L18,"-")</f>
        <v>39</v>
      </c>
      <c r="AB18" s="344">
        <f>IF(ISNUMBER(Datos!R18),Datos!R18," - ")</f>
        <v>0</v>
      </c>
      <c r="AC18" s="344">
        <f t="shared" si="8"/>
        <v>39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1.0877192982456141</v>
      </c>
      <c r="AM18" s="265">
        <f>IF(ISNUMBER(((NºAsuntos!I18/NºAsuntos!G18)*11)/factor_trimestre),((NºAsuntos!I18/NºAsuntos!G18)*11)/factor_trimestre," - ")</f>
        <v>1.8870967741935483</v>
      </c>
      <c r="AN18" s="249">
        <f>IF(ISNUMBER('Resol  Asuntos'!D18/NºAsuntos!G18),'Resol  Asuntos'!D18/NºAsuntos!G18," - ")</f>
        <v>3.2258064516129031E-2</v>
      </c>
      <c r="AO18" s="250">
        <f>IF(ISNUMBER((NºAsuntos!C18+NºAsuntos!E18)/NºAsuntos!G18),(NºAsuntos!C18+NºAsuntos!E18)/NºAsuntos!G18," - ")</f>
        <v>1.6290322580645162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716</v>
      </c>
      <c r="G20" s="1013">
        <f>SUBTOTAL(9,G16:G19)</f>
        <v>760</v>
      </c>
      <c r="H20" s="1012">
        <f t="shared" ref="H20:O20" si="12">SUBTOTAL(9,H15:H19)</f>
        <v>0</v>
      </c>
      <c r="I20" s="1014">
        <f t="shared" si="12"/>
        <v>0</v>
      </c>
      <c r="J20" s="1014">
        <f t="shared" si="12"/>
        <v>0</v>
      </c>
      <c r="K20" s="1014">
        <f t="shared" si="12"/>
        <v>0</v>
      </c>
      <c r="L20" s="1014">
        <f t="shared" si="12"/>
        <v>16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1288</v>
      </c>
      <c r="X20" s="1014">
        <f t="shared" si="13"/>
        <v>21</v>
      </c>
      <c r="Y20" s="1015">
        <f t="shared" si="13"/>
        <v>1309</v>
      </c>
      <c r="Z20" s="1015">
        <f t="shared" si="13"/>
        <v>0</v>
      </c>
      <c r="AA20" s="1015">
        <f t="shared" si="13"/>
        <v>621</v>
      </c>
      <c r="AB20" s="1015">
        <f t="shared" si="13"/>
        <v>47</v>
      </c>
      <c r="AC20" s="1015">
        <f t="shared" si="13"/>
        <v>668</v>
      </c>
      <c r="AD20" s="1015">
        <f t="shared" si="13"/>
        <v>0</v>
      </c>
      <c r="AE20" s="1019">
        <f t="shared" si="13"/>
        <v>0</v>
      </c>
      <c r="AF20" s="1012">
        <f t="shared" si="13"/>
        <v>0</v>
      </c>
      <c r="AG20" s="1020">
        <f t="shared" si="13"/>
        <v>0</v>
      </c>
      <c r="AH20" s="1017">
        <f t="shared" si="13"/>
        <v>0</v>
      </c>
      <c r="AI20" s="1012">
        <f t="shared" si="13"/>
        <v>78</v>
      </c>
      <c r="AJ20" s="1014">
        <f t="shared" si="13"/>
        <v>0</v>
      </c>
      <c r="AK20" s="1017">
        <f t="shared" si="13"/>
        <v>0</v>
      </c>
      <c r="AL20" s="1021">
        <f>IF(ISNUMBER(NºAsuntos!G20/NºAsuntos!E20),NºAsuntos!G20/NºAsuntos!E20," - ")</f>
        <v>1.1209747606614446</v>
      </c>
      <c r="AM20" s="1021">
        <f>IF(ISNUMBER(((NºAsuntos!I20/NºAsuntos!G20)*11)/factor_trimestre),((NºAsuntos!I20/NºAsuntos!G20)*11)/factor_trimestre," - ")</f>
        <v>1.4464285714285716</v>
      </c>
      <c r="AN20" s="1022">
        <f>IF(ISNUMBER('Resol  Asuntos'!D20/NºAsuntos!G20),'Resol  Asuntos'!D20/NºAsuntos!G20," - ")</f>
        <v>6.0559006211180127E-2</v>
      </c>
      <c r="AO20" s="1023">
        <f>IF(ISNUMBER((NºAsuntos!C20+NºAsuntos!E20)/NºAsuntos!G20),(NºAsuntos!C20+NºAsuntos!E20)/NºAsuntos!G20," - ")</f>
        <v>1.4821428571428572</v>
      </c>
      <c r="AP20" s="1024" t="str">
        <f t="shared" si="2"/>
        <v xml:space="preserve"> - </v>
      </c>
      <c r="AQ20" s="1024">
        <f>IF(ISNUMBER((H20-W20+K20)/(F20)),(H20-W20+K20)/(F20)," - ")</f>
        <v>-1.7988826815642458</v>
      </c>
      <c r="AR20" s="1025">
        <f>IF(ISNUMBER((Datos!P20-Datos!Q20)/(Datos!R20-Datos!P20+Datos!Q20)),(Datos!P20-Datos!Q20)/(Datos!R20-Datos!P20+Datos!Q20)," - ")</f>
        <v>-9.6153846153846159E-2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725</v>
      </c>
      <c r="G21" s="968">
        <f t="shared" si="15"/>
        <v>769</v>
      </c>
      <c r="H21" s="967">
        <f t="shared" si="15"/>
        <v>0</v>
      </c>
      <c r="I21" s="969">
        <f t="shared" si="15"/>
        <v>0</v>
      </c>
      <c r="J21" s="969">
        <f t="shared" si="15"/>
        <v>0</v>
      </c>
      <c r="K21" s="1028">
        <f t="shared" si="15"/>
        <v>0</v>
      </c>
      <c r="L21" s="969">
        <f t="shared" si="15"/>
        <v>119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1288</v>
      </c>
      <c r="X21" s="968">
        <f t="shared" si="16"/>
        <v>94</v>
      </c>
      <c r="Y21" s="975">
        <f t="shared" si="16"/>
        <v>1382</v>
      </c>
      <c r="Z21" s="975">
        <f t="shared" si="16"/>
        <v>0</v>
      </c>
      <c r="AA21" s="975">
        <f t="shared" si="16"/>
        <v>631</v>
      </c>
      <c r="AB21" s="975">
        <f t="shared" si="16"/>
        <v>1668</v>
      </c>
      <c r="AC21" s="975">
        <f t="shared" si="16"/>
        <v>678</v>
      </c>
      <c r="AD21" s="975">
        <f t="shared" si="16"/>
        <v>0</v>
      </c>
      <c r="AE21" s="977">
        <f t="shared" si="16"/>
        <v>0</v>
      </c>
      <c r="AF21" s="978">
        <f t="shared" si="16"/>
        <v>0</v>
      </c>
      <c r="AG21" s="979">
        <f t="shared" si="16"/>
        <v>0</v>
      </c>
      <c r="AH21" s="977">
        <f t="shared" si="16"/>
        <v>0</v>
      </c>
      <c r="AI21" s="967">
        <f t="shared" si="16"/>
        <v>169</v>
      </c>
      <c r="AJ21" s="967">
        <f t="shared" si="16"/>
        <v>0</v>
      </c>
      <c r="AK21" s="977">
        <f t="shared" si="16"/>
        <v>0</v>
      </c>
      <c r="AL21" s="1031">
        <f>IF(ISNUMBER(NºAsuntos!G21/NºAsuntos!E21),NºAsuntos!G21/NºAsuntos!E21," - ")</f>
        <v>1.1264689423614997</v>
      </c>
      <c r="AM21" s="1032">
        <f>IF(ISNUMBER(((NºAsuntos!I21/NºAsuntos!G21)*11)/factor_trimestre),((NºAsuntos!I21/NºAsuntos!G21)*11)/factor_trimestre," - ")</f>
        <v>2.6423248882265278</v>
      </c>
      <c r="AN21" s="1032">
        <f>IF(ISNUMBER('Resol  Asuntos'!D21/NºAsuntos!G21),'Resol  Asuntos'!D21/NºAsuntos!G21," - ")</f>
        <v>8.3954297069051165E-2</v>
      </c>
      <c r="AO21" s="1033">
        <f>IF(ISNUMBER((NºAsuntos!C21+NºAsuntos!E21)/NºAsuntos!G21),(NºAsuntos!C21+NºAsuntos!E21)/NºAsuntos!G21," - ")</f>
        <v>1.8807749627421759</v>
      </c>
      <c r="AP21" s="1034" t="str">
        <f t="shared" si="2"/>
        <v xml:space="preserve"> - </v>
      </c>
      <c r="AQ21" s="1035">
        <f>IF(OR(ISNUMBER(FIND("01",Criterios!A8,1)),ISNUMBER(FIND("02",Criterios!A8,1)),ISNUMBER(FIND("03",Criterios!A8,1)),ISNUMBER(FIND("04",Criterios!A8,1))),(I21-W21+K21)/(F21-K21),(H21-W21+K21)/(F21-K21))</f>
        <v>-1.7765517241379309</v>
      </c>
      <c r="AR21" s="1036">
        <f>IF(ISNUMBER((Datos!P21-Datos!Q21)/(Datos!R21-Datos!P21+Datos!Q21)),(Datos!P21-Datos!Q21)/(Datos!R21-Datos!P21+Datos!Q21)," - ")</f>
        <v>1.5216068167985392E-2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307.60000000000002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408.18664031706544</v>
      </c>
      <c r="G23" s="258">
        <f>IF(ISNUMBER(STDEV(G8:G20)),STDEV(G8:G20),"-")</f>
        <v>393.467025301994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677.99498523219188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43.325127428164208</v>
      </c>
      <c r="AJ23" s="257">
        <f t="shared" si="20"/>
        <v>0</v>
      </c>
      <c r="AK23" s="259">
        <f t="shared" si="20"/>
        <v>0</v>
      </c>
      <c r="AL23" s="254">
        <f t="shared" si="20"/>
        <v>0.45807936898575313</v>
      </c>
      <c r="AM23" s="255">
        <f t="shared" si="20"/>
        <v>1.7408560600191749</v>
      </c>
      <c r="AN23" s="255">
        <f t="shared" si="20"/>
        <v>4.218533627061985E-2</v>
      </c>
      <c r="AO23" s="256">
        <f t="shared" si="20"/>
        <v>0.58028535333972475</v>
      </c>
      <c r="AP23" s="296" t="str">
        <f t="shared" si="20"/>
        <v>-</v>
      </c>
      <c r="AQ23" s="297">
        <f t="shared" si="20"/>
        <v>1.272002142693119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tm/k5VfxFHUe3VMpHekblgEElGDXXyQmX5mQ5djx7yhneMKclPaGf56agLXfn/JosAvntuMa1iASjK2YnbE9w==" saltValue="nKVGOwiDOJXNkmJYSMBo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COIN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-0.35714285714285715</v>
      </c>
      <c r="E10" s="358">
        <f>IF(ISNUMBER((Datos!J10-Datos!T10)/Datos!T10),(Datos!J10-Datos!T10)/Datos!T10," - ")</f>
        <v>-0.66666666666666663</v>
      </c>
      <c r="F10" s="358">
        <f>IF(ISNUMBER((Datos!K10-Datos!U10)/Datos!U10),(Datos!K10-Datos!U10)/Datos!U10," - ")</f>
        <v>-1</v>
      </c>
      <c r="G10" s="359">
        <f>IF(ISNUMBER((Datos!L10-Datos!V10)/Datos!V10),(Datos!L10-Datos!V10)/Datos!V10," - ")</f>
        <v>0.1111111111111111</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-0.2956420811120859</v>
      </c>
      <c r="J12" s="359">
        <f>IF(ISNUMBER((Tasas!D12-Datos!BF12)/Datos!BF12),(Tasas!D12-Datos!BF12)/Datos!BF12," - ")</f>
        <v>-0.64591741166453809</v>
      </c>
      <c r="K12" s="361">
        <f>IF(ISNUMBER((Tasas!E12-Datos!BG12)/Datos!BG12),(Tasas!E12-Datos!BG12)/Datos!BG12," - ")</f>
        <v>-0.21647550392580006</v>
      </c>
      <c r="M12" t="e">
        <f>IF(Monitorios="SI",Datos!CE12,0)</f>
        <v>#REF!</v>
      </c>
      <c r="N12" t="e">
        <f>IF(Monitorios="SI",Datos!CF12,0)</f>
        <v>#REF!</v>
      </c>
      <c r="O12" t="e">
        <f>IF(Monitorios="SI",Datos!CG12,0)</f>
        <v>#REF!</v>
      </c>
      <c r="P12" t="e">
        <f>IF(Monitorios="SI",Datos!CH12,0)</f>
        <v>#REF!</v>
      </c>
      <c r="Q12">
        <f>IF(J_V="SI",0,Datos!AG12)</f>
        <v>35</v>
      </c>
      <c r="R12">
        <f>IF(J_V="SI",0,Datos!AH12)</f>
        <v>40</v>
      </c>
      <c r="S12">
        <f>IF(J_V="SI",0,Datos!AI12)</f>
        <v>46</v>
      </c>
      <c r="T12">
        <f>IF(J_V="SI",0,Datos!AJ12)</f>
        <v>15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-6.1855670103092786E-2</v>
      </c>
      <c r="I14" s="367">
        <f>IF(ISNUMBER((Tasas!C14-Datos!BE14)/Datos!BE14),(Tasas!C14-Datos!BE14)/Datos!BE14," - ")</f>
        <v>-0.28334726913943614</v>
      </c>
      <c r="J14" s="365">
        <f>IF(ISNUMBER((Tasas!D14-Datos!BF14)/Datos!BF14),(Tasas!D14-Datos!BF14)/Datos!BF14," - ")</f>
        <v>-0.65258620689655178</v>
      </c>
      <c r="K14" s="368">
        <f>IF(ISNUMBER((Tasas!E14-Datos!BG14)/Datos!BG14),(Tasas!E14-Datos!BG14)/Datos!BG14," - ")</f>
        <v>-0.20745953553835322</v>
      </c>
      <c r="M14" t="e">
        <f>IF(Monitorios="SI",Datos!CE14,0)</f>
        <v>#REF!</v>
      </c>
      <c r="N14" t="e">
        <f>IF(Monitorios="SI",Datos!CF14,0)</f>
        <v>#REF!</v>
      </c>
      <c r="O14" t="e">
        <f>IF(Monitorios="SI",Datos!CG14,0)</f>
        <v>#REF!</v>
      </c>
      <c r="P14" t="e">
        <f>IF(Monitorios="SI",Datos!CH14,0)</f>
        <v>#REF!</v>
      </c>
      <c r="Q14">
        <f>IF(J_V="SI",0,Datos!AG14)</f>
        <v>35</v>
      </c>
      <c r="R14">
        <f>IF(J_V="SI",0,Datos!AH14)</f>
        <v>40</v>
      </c>
      <c r="S14">
        <f>IF(J_V="SI",0,Datos!AI14)</f>
        <v>46</v>
      </c>
      <c r="T14">
        <f>IF(J_V="SI",0,Datos!AJ14)</f>
        <v>15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7.8313253012048195E-2</v>
      </c>
      <c r="E17" s="358">
        <f>IF(ISNUMBER(
   IF(D_I="SI",(Datos!J17-Datos!T17)/Datos!T17,(Datos!J17+Datos!AD17-(Datos!T17+Datos!AL17))/(Datos!T17+Datos!AL17))
     ),IF(D_I="SI",(Datos!J17-Datos!T17)/Datos!T17,(Datos!J17+Datos!AD17-(Datos!T17+Datos!AL17))/(Datos!T17+Datos!AL17))," - ")</f>
        <v>7.3746312684365781E-2</v>
      </c>
      <c r="F17" s="358">
        <f>IF(ISNUMBER(
   IF(D_I="SI",(Datos!K17-Datos!U17)/Datos!U17,(Datos!K17+Datos!AE17-(Datos!U17+Datos!AM17))/(Datos!U17+Datos!AM17))
     ),IF(D_I="SI",(Datos!K17-Datos!U17)/Datos!U17,(Datos!K17+Datos!AE17-(Datos!U17+Datos!AM17))/(Datos!U17+Datos!AM17))," - ")</f>
        <v>0.20788177339901479</v>
      </c>
      <c r="G17" s="359">
        <f>IF(ISNUMBER(
   IF(D_I="SI",(Datos!L17-Datos!V17)/Datos!V17,(Datos!L17+Datos!AF17-(Datos!V17+Datos!AN17))/(Datos!V17+Datos!AN17))
     ),IF(D_I="SI",(Datos!L17-Datos!V17)/Datos!V17,(Datos!L17+Datos!AF17-(Datos!V17+Datos!AN17))/(Datos!V17+Datos!AN17))," - ")</f>
        <v>-0.12612612612612611</v>
      </c>
      <c r="H17" s="235">
        <f>IF(ISNUMBER((Datos!M17-Datos!W17)/Datos!W17),(Datos!M17-Datos!W17)/Datos!W17," - ")</f>
        <v>0.15151515151515152</v>
      </c>
      <c r="I17" s="360">
        <f>IF(ISNUMBER((Tasas!C17-Datos!BE17)/Datos!BE17),(Tasas!C17-Datos!BE17)/Datos!BE17," - ")</f>
        <v>-0.27652366885645846</v>
      </c>
      <c r="J17" s="359">
        <f>IF(ISNUMBER((Tasas!D17-Datos!BF17)/Datos!BF17),(Tasas!D17-Datos!BF17)/Datos!BF17," - ")</f>
        <v>-4.6665677987048286E-2</v>
      </c>
      <c r="K17" s="361">
        <f>IF(ISNUMBER((Tasas!E17-Datos!BG17)/Datos!BG17),(Tasas!E17-Datos!BG17)/Datos!BG17," - ")</f>
        <v>-0.10955667070696093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-4.3478260869565216E-2</v>
      </c>
      <c r="E18" s="358">
        <f>IF(ISNUMBER(
   IF(D_I="SI",(Datos!J18-Datos!T18)/Datos!T18,(Datos!J18+Datos!AD18-(Datos!T18+Datos!AL18))/(Datos!T18+Datos!AL18))
     ),IF(D_I="SI",(Datos!J18-Datos!T18)/Datos!T18,(Datos!J18+Datos!AD18-(Datos!T18+Datos!AL18))/(Datos!T18+Datos!AL18))," - ")</f>
        <v>0.32558139534883723</v>
      </c>
      <c r="F18" s="358">
        <f>IF(ISNUMBER(
   IF(D_I="SI",(Datos!K18-Datos!U18)/Datos!U18,(Datos!K18+Datos!AE18-(Datos!U18+Datos!AM18))/(Datos!U18+Datos!AM18))
     ),IF(D_I="SI",(Datos!K18-Datos!U18)/Datos!U18,(Datos!K18+Datos!AE18-(Datos!U18+Datos!AM18))/(Datos!U18+Datos!AM18))," - ")</f>
        <v>0.14814814814814814</v>
      </c>
      <c r="G18" s="359">
        <f>IF(ISNUMBER(
   IF(D_I="SI",(Datos!L18-Datos!V18)/Datos!V18,(Datos!L18+Datos!AF18-(Datos!V18+Datos!AN18))/(Datos!V18+Datos!AN18))
     ),IF(D_I="SI",(Datos!L18-Datos!V18)/Datos!V18,(Datos!L18+Datos!AF18-(Datos!V18+Datos!AN18))/(Datos!V18+Datos!AN18))," - ")</f>
        <v>0.11428571428571428</v>
      </c>
      <c r="H18" s="235">
        <f>IF(ISNUMBER((Datos!M18-Datos!W18)/Datos!W18),(Datos!M18-Datos!W18)/Datos!W18," - ")</f>
        <v>-0.77777777777777779</v>
      </c>
      <c r="I18" s="360">
        <f>IF(ISNUMBER((Tasas!C18-Datos!BE18)/Datos!BE18),(Tasas!C18-Datos!BE18)/Datos!BE18," - ")</f>
        <v>-2.949308755760368E-2</v>
      </c>
      <c r="J18" s="359">
        <f>IF(ISNUMBER((Tasas!D18-Datos!BF18)/Datos!BF18),(Tasas!D18-Datos!BF18)/Datos!BF18," - ")</f>
        <v>-0.80645161290322576</v>
      </c>
      <c r="K18" s="361">
        <f>IF(ISNUMBER((Tasas!E18-Datos!BG18)/Datos!BG18),(Tasas!E18-Datos!BG18)/Datos!BG18," - ")</f>
        <v>-1.1598405219282279E-2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7.0422535211267609E-2</v>
      </c>
      <c r="E20" s="364">
        <f>IF(ISNUMBER(
   IF(D_I="SI",(Datos!J20-Datos!T20)/Datos!T20,(Datos!J20+Datos!AD20-(Datos!T20+Datos!AL20))/(Datos!T20+Datos!AL20))
     ),IF(D_I="SI",(Datos!J20-Datos!T20)/Datos!T20,(Datos!J20+Datos!AD20-(Datos!T20+Datos!AL20))/(Datos!T20+Datos!AL20))," - ")</f>
        <v>8.3962264150943391E-2</v>
      </c>
      <c r="F20" s="364">
        <f>IF(ISNUMBER(
   IF(D_I="SI",(Datos!K20-Datos!U20)/Datos!U20,(Datos!K20+Datos!AE20-(Datos!U20+Datos!AM20))/(Datos!U20+Datos!AM20))
     ),IF(D_I="SI",(Datos!K20-Datos!U20)/Datos!U20,(Datos!K20+Datos!AE20-(Datos!U20+Datos!AM20))/(Datos!U20+Datos!AM20))," - ")</f>
        <v>0.20486435921421889</v>
      </c>
      <c r="G20" s="365">
        <f>IF(ISNUMBER(
   IF(D_I="SI",(Datos!L20-Datos!V20)/Datos!V20,(Datos!L20+Datos!AF20-(Datos!V20+Datos!AN20))/(Datos!V20+Datos!AN20))
     ),IF(D_I="SI",(Datos!L20-Datos!V20)/Datos!V20,(Datos!L20+Datos!AF20-(Datos!V20+Datos!AN20))/(Datos!V20+Datos!AN20))," - ")</f>
        <v>-0.11412268188302425</v>
      </c>
      <c r="H20" s="366">
        <f>IF(ISNUMBER((Datos!M20-Datos!W20)/Datos!W20),(Datos!M20-Datos!W20)/Datos!W20," - ")</f>
        <v>0.04</v>
      </c>
      <c r="I20" s="367">
        <f>IF(ISNUMBER((Tasas!C20-Datos!BE20)/Datos!BE20),(Tasas!C20-Datos!BE20)/Datos!BE20," - ")</f>
        <v>-0.26474933768086406</v>
      </c>
      <c r="J20" s="365">
        <f>IF(ISNUMBER((Tasas!D20-Datos!BF20)/Datos!BF20),(Tasas!D20-Datos!BF20)/Datos!BF20," - ")</f>
        <v>-0.13683229813664585</v>
      </c>
      <c r="K20" s="368">
        <f>IF(ISNUMBER((Tasas!E20-Datos!BG20)/Datos!BG20),(Tasas!E20-Datos!BG20)/Datos!BG20," - ")</f>
        <v>-0.10485270379338171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0.13903133903133902</v>
      </c>
      <c r="E21" s="373">
        <f>IF(ISNUMBER(
   IF(J_V="SI",(Datos!J21-Datos!T21)/Datos!T21,(Datos!J21+Datos!Z21-(Datos!T21+Datos!AH21))/(Datos!T21+Datos!AH21))
     ),IF(J_V="SI",(Datos!J21-Datos!T21)/Datos!T21,(Datos!J21+Datos!Z21-(Datos!T21+Datos!AH21))/(Datos!T21+Datos!AH21))," - ")</f>
        <v>0.16492829204693613</v>
      </c>
      <c r="F21" s="373">
        <f>IF(ISNUMBER(
   IF(J_V="SI",(Datos!K21-Datos!U21)/Datos!U21,(Datos!K21+Datos!AA21-(Datos!U21+Datos!AI21))/(Datos!U21+Datos!AI21))
     ),IF(J_V="SI",(Datos!K21-Datos!U21)/Datos!U21,(Datos!K21+Datos!AA21-(Datos!U21+Datos!AI21))/(Datos!U21+Datos!AI21))," - ")</f>
        <v>0.31225554106910042</v>
      </c>
      <c r="G21" s="374">
        <f>IF(ISNUMBER(
   IF(J_V="SI",(Datos!L21-Datos!V21)/Datos!V21,(Datos!L21+Datos!AB21-(Datos!V21+Datos!AJ21))/(Datos!V21+Datos!AJ21))
     ),IF(J_V="SI",(Datos!L21-Datos!V21)/Datos!V21,(Datos!L21+Datos!AB21-(Datos!V21+Datos!AJ21))/(Datos!V21+Datos!AJ21))," - ")</f>
        <v>2.3672055427251731E-2</v>
      </c>
      <c r="H21" s="375">
        <f>IF(ISNUMBER((Datos!M21-Datos!W21)/Datos!W21),(Datos!M21-Datos!W21)/Datos!W21," - ")</f>
        <v>-1.7441860465116279E-2</v>
      </c>
      <c r="I21" s="372">
        <f>IF(ISNUMBER((Tasas!C21-Datos!BE21)/Datos!BE21),(Tasas!C21-Datos!BE21)/Datos!BE21," - ")</f>
        <v>-0.21991409189001279</v>
      </c>
      <c r="J21" s="373">
        <f>IF(ISNUMBER((Tasas!D21-Datos!BF21)/Datos!BF21),(Tasas!D21-Datos!BF21)/Datos!BF21," - ")</f>
        <v>-0.47001690656821193</v>
      </c>
      <c r="K21" s="374">
        <f>IF(ISNUMBER((Tasas!E21-Datos!BG21)/Datos!BG21),(Tasas!E21-Datos!BG21)/Datos!BG21," - ")</f>
        <v>-0.12280061026254248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0.20385625965254275</v>
      </c>
      <c r="E23" s="283">
        <f t="shared" si="1"/>
        <v>0.42993376112210568</v>
      </c>
      <c r="F23" s="283">
        <f t="shared" si="1"/>
        <v>0.59411801662085106</v>
      </c>
      <c r="G23" s="284">
        <f t="shared" si="1"/>
        <v>0.13451585329992374</v>
      </c>
      <c r="H23" s="290">
        <f t="shared" si="1"/>
        <v>0.48592295346723302</v>
      </c>
      <c r="I23" s="282">
        <f t="shared" si="1"/>
        <v>0.11261637552569165</v>
      </c>
      <c r="J23" s="283">
        <f t="shared" si="1"/>
        <v>0.34166482505835916</v>
      </c>
      <c r="K23" s="284">
        <f t="shared" si="1"/>
        <v>8.4479650858673719E-2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f60p9JeZDRuivb5pb59k82zlR9BvpjBX/AKNVMFIVSKOPn37Fxpq/mfQhqQ1esBk7hVof3m+htY5PDpJUaYUQ==" saltValue="DzQ1KOFrJVQdgcoGA82fF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